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haitran714/Documents/Clients/"/>
    </mc:Choice>
  </mc:AlternateContent>
  <xr:revisionPtr revIDLastSave="0" documentId="13_ncr:1_{9C29D8AE-34A5-4C47-8270-48170984FAE1}" xr6:coauthVersionLast="47" xr6:coauthVersionMax="47" xr10:uidLastSave="{00000000-0000-0000-0000-000000000000}"/>
  <bookViews>
    <workbookView xWindow="3900" yWindow="1680" windowWidth="30220" windowHeight="16440" tabRatio="828" xr2:uid="{00000000-000D-0000-FFFF-FFFF00000000}"/>
  </bookViews>
  <sheets>
    <sheet name="Inputs &amp; Result" sheetId="44" r:id="rId1"/>
    <sheet name="Calculations" sheetId="18" state="hidden" r:id="rId2"/>
    <sheet name="Tax Year Parameters" sheetId="14" state="hidden" r:id="rId3"/>
  </sheets>
  <externalReferences>
    <externalReference r:id="rId4"/>
  </externalReferences>
  <definedNames>
    <definedName name="Allowance">'Tax Year Parameters'!$C$4</definedName>
    <definedName name="BaseTRSHH">'[1]Base Rate Schedules'!$F$32:$H$38</definedName>
    <definedName name="Box2c">'Inputs &amp; Result'!$D$15</definedName>
    <definedName name="FilStat19">'Inputs &amp; Result'!$I$13</definedName>
    <definedName name="FilStat20">'Inputs &amp; Result'!$D$13</definedName>
    <definedName name="HWRSHH">'Tax Year Parameters'!$R$31:$T$38</definedName>
    <definedName name="HWRSMJ">'Tax Year Parameters'!$R$9:$T$16</definedName>
    <definedName name="HWRSS">'Tax Year Parameters'!$R$20:$T$27</definedName>
    <definedName name="PayFreq">'Inputs &amp; Result'!$D$4</definedName>
    <definedName name="SDHH">'Tax Year Parameters'!$D$8</definedName>
    <definedName name="SDMJ">'Tax Year Parameters'!$D$6</definedName>
    <definedName name="SDS">'Tax Year Parameters'!$D$7</definedName>
    <definedName name="TRSHH">'Tax Year Parameters'!$F$32:$H$38</definedName>
    <definedName name="TRSMJ">'Tax Year Parameters'!$F$10:$H$16</definedName>
    <definedName name="TRSS">'Tax Year Parameters'!$F$21:$H$27</definedName>
    <definedName name="Update12p">'Tax Year Parameters'!$X$11</definedName>
    <definedName name="Update22p">'Tax Year Parameters'!$X$12</definedName>
    <definedName name="Update24p">'Tax Year Parameters'!$X$13</definedName>
    <definedName name="Update32p">'Tax Year Parameters'!$X$14</definedName>
    <definedName name="Update35p">'Tax Year Parameters'!$X$15</definedName>
    <definedName name="Update37p">'Tax Year Parameters'!$X$16</definedName>
    <definedName name="UpdateWA">'Tax Year Parameters'!$X$7</definedName>
    <definedName name="Version">'Inputs &amp; Result'!$D$8</definedName>
    <definedName name="WRSHH">'Tax Year Parameters'!$J$31:$L$38</definedName>
    <definedName name="WRSHH2020">'Tax Year Parameters'!$N$31:$P$38</definedName>
    <definedName name="WRSMJ">'Tax Year Parameters'!$J$9:$L$16</definedName>
    <definedName name="WRSMJ2020">'Tax Year Parameters'!$N$9:$P$16</definedName>
    <definedName name="WRSS">'Tax Year Parameters'!$J$20:$L$27</definedName>
    <definedName name="WRSS2020">'Tax Year Parameters'!$N$20:$P$27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5" i="14" l="1"/>
  <c r="T35" i="14" s="1"/>
  <c r="T25" i="14"/>
  <c r="T24" i="14"/>
  <c r="T22" i="14"/>
  <c r="T21" i="14"/>
  <c r="P25" i="14"/>
  <c r="P24" i="14"/>
  <c r="P23" i="14"/>
  <c r="T23" i="14" s="1"/>
  <c r="P22" i="14"/>
  <c r="P21" i="14"/>
  <c r="P13" i="14"/>
  <c r="T13" i="14" s="1"/>
  <c r="P11" i="14"/>
  <c r="T11" i="14" s="1"/>
  <c r="L38" i="14"/>
  <c r="P38" i="14" s="1"/>
  <c r="T38" i="14" s="1"/>
  <c r="L37" i="14"/>
  <c r="P37" i="14" s="1"/>
  <c r="T37" i="14" s="1"/>
  <c r="L36" i="14"/>
  <c r="P36" i="14" s="1"/>
  <c r="T36" i="14" s="1"/>
  <c r="L35" i="14"/>
  <c r="L34" i="14"/>
  <c r="P34" i="14" s="1"/>
  <c r="T34" i="14" s="1"/>
  <c r="L33" i="14"/>
  <c r="P33" i="14" s="1"/>
  <c r="T33" i="14" s="1"/>
  <c r="L32" i="14"/>
  <c r="P32" i="14" s="1"/>
  <c r="T32" i="14" s="1"/>
  <c r="L27" i="14"/>
  <c r="P27" i="14" s="1"/>
  <c r="T27" i="14" s="1"/>
  <c r="L26" i="14"/>
  <c r="P26" i="14" s="1"/>
  <c r="T26" i="14" s="1"/>
  <c r="L25" i="14"/>
  <c r="L24" i="14"/>
  <c r="L23" i="14"/>
  <c r="L22" i="14"/>
  <c r="L21" i="14"/>
  <c r="L16" i="14"/>
  <c r="P16" i="14" s="1"/>
  <c r="T16" i="14" s="1"/>
  <c r="L15" i="14"/>
  <c r="P15" i="14" s="1"/>
  <c r="T15" i="14" s="1"/>
  <c r="L14" i="14"/>
  <c r="P14" i="14" s="1"/>
  <c r="T14" i="14" s="1"/>
  <c r="L13" i="14"/>
  <c r="L12" i="14"/>
  <c r="P12" i="14" s="1"/>
  <c r="T12" i="14" s="1"/>
  <c r="L11" i="14"/>
  <c r="L10" i="14"/>
  <c r="P10" i="14" s="1"/>
  <c r="T10" i="14" s="1"/>
  <c r="R38" i="14" l="1"/>
  <c r="N38" i="14"/>
  <c r="J38" i="14"/>
  <c r="R37" i="14"/>
  <c r="N37" i="14"/>
  <c r="J37" i="14"/>
  <c r="R36" i="14"/>
  <c r="N36" i="14"/>
  <c r="J36" i="14"/>
  <c r="R35" i="14"/>
  <c r="N35" i="14"/>
  <c r="J35" i="14"/>
  <c r="R34" i="14"/>
  <c r="N34" i="14"/>
  <c r="J34" i="14"/>
  <c r="R33" i="14"/>
  <c r="N33" i="14"/>
  <c r="J33" i="14"/>
  <c r="R32" i="14"/>
  <c r="S32" i="14" s="1"/>
  <c r="N32" i="14"/>
  <c r="J32" i="14"/>
  <c r="R27" i="14"/>
  <c r="N27" i="14"/>
  <c r="J27" i="14"/>
  <c r="R26" i="14"/>
  <c r="N26" i="14"/>
  <c r="J26" i="14"/>
  <c r="R25" i="14"/>
  <c r="N25" i="14"/>
  <c r="J25" i="14"/>
  <c r="R24" i="14"/>
  <c r="N24" i="14"/>
  <c r="J24" i="14"/>
  <c r="R23" i="14"/>
  <c r="N23" i="14"/>
  <c r="J23" i="14"/>
  <c r="R22" i="14"/>
  <c r="N22" i="14"/>
  <c r="O22" i="14" s="1"/>
  <c r="O23" i="14" s="1"/>
  <c r="J22" i="14"/>
  <c r="K22" i="14" s="1"/>
  <c r="S21" i="14"/>
  <c r="S22" i="14" s="1"/>
  <c r="S23" i="14" s="1"/>
  <c r="S24" i="14" s="1"/>
  <c r="S25" i="14" s="1"/>
  <c r="S26" i="14" s="1"/>
  <c r="S27" i="14" s="1"/>
  <c r="R21" i="14"/>
  <c r="N21" i="14"/>
  <c r="J21" i="14"/>
  <c r="R16" i="14"/>
  <c r="N16" i="14"/>
  <c r="J16" i="14"/>
  <c r="R15" i="14"/>
  <c r="N15" i="14"/>
  <c r="J15" i="14"/>
  <c r="R14" i="14"/>
  <c r="N14" i="14"/>
  <c r="J14" i="14"/>
  <c r="R13" i="14"/>
  <c r="N13" i="14"/>
  <c r="J13" i="14"/>
  <c r="R12" i="14"/>
  <c r="N12" i="14"/>
  <c r="J12" i="14"/>
  <c r="R11" i="14"/>
  <c r="N11" i="14"/>
  <c r="J11" i="14"/>
  <c r="R10" i="14"/>
  <c r="S10" i="14" s="1"/>
  <c r="S11" i="14" s="1"/>
  <c r="S12" i="14" s="1"/>
  <c r="S13" i="14" s="1"/>
  <c r="N10" i="14"/>
  <c r="J10" i="14"/>
  <c r="O33" i="14" l="1"/>
  <c r="O34" i="14" s="1"/>
  <c r="O35" i="14" s="1"/>
  <c r="O36" i="14" s="1"/>
  <c r="O37" i="14" s="1"/>
  <c r="O38" i="14" s="1"/>
  <c r="K23" i="14"/>
  <c r="K24" i="14" s="1"/>
  <c r="O24" i="14"/>
  <c r="O25" i="14" s="1"/>
  <c r="O26" i="14" s="1"/>
  <c r="O27" i="14" s="1"/>
  <c r="O11" i="14"/>
  <c r="O12" i="14" s="1"/>
  <c r="O13" i="14" s="1"/>
  <c r="O14" i="14" s="1"/>
  <c r="O15" i="14" s="1"/>
  <c r="O16" i="14" s="1"/>
  <c r="K33" i="14"/>
  <c r="K34" i="14" s="1"/>
  <c r="K35" i="14" s="1"/>
  <c r="K36" i="14" s="1"/>
  <c r="K37" i="14" s="1"/>
  <c r="K38" i="14" s="1"/>
  <c r="K11" i="14"/>
  <c r="K12" i="14" s="1"/>
  <c r="K13" i="14" s="1"/>
  <c r="K14" i="14" s="1"/>
  <c r="K15" i="14" s="1"/>
  <c r="K16" i="14" s="1"/>
  <c r="S33" i="14"/>
  <c r="S34" i="14" s="1"/>
  <c r="S35" i="14" s="1"/>
  <c r="S36" i="14" s="1"/>
  <c r="S37" i="14" s="1"/>
  <c r="S38" i="14" s="1"/>
  <c r="K25" i="14"/>
  <c r="K26" i="14" s="1"/>
  <c r="K27" i="14" s="1"/>
  <c r="S14" i="14"/>
  <c r="S15" i="14" s="1"/>
  <c r="S16" i="14" s="1"/>
  <c r="W14" i="18"/>
  <c r="M6" i="18"/>
  <c r="Q19" i="18" l="1"/>
  <c r="Q14" i="18"/>
  <c r="Q10" i="18"/>
  <c r="M4" i="18" s="1"/>
  <c r="K12" i="18"/>
  <c r="R5" i="18"/>
  <c r="R6" i="18"/>
  <c r="R7" i="18"/>
  <c r="R8" i="18"/>
  <c r="M7" i="18" s="1"/>
  <c r="R4" i="18"/>
  <c r="K7" i="18" l="1"/>
  <c r="G10" i="44"/>
  <c r="B10" i="44"/>
  <c r="K16" i="18"/>
  <c r="M33" i="18"/>
  <c r="K4" i="18"/>
  <c r="K14" i="18"/>
  <c r="L33" i="18"/>
  <c r="L27" i="18"/>
  <c r="K27" i="18"/>
  <c r="K33" i="18"/>
  <c r="M12" i="18" l="1"/>
  <c r="L12" i="18" l="1"/>
  <c r="M8" i="18"/>
  <c r="K8" i="18"/>
  <c r="K13" i="18" s="1"/>
  <c r="M13" i="18" l="1"/>
  <c r="M17" i="18" s="1"/>
  <c r="K15" i="18"/>
  <c r="K17" i="18" s="1"/>
  <c r="K19" i="18" l="1"/>
  <c r="K20" i="18"/>
  <c r="K18" i="18"/>
  <c r="L17" i="18"/>
  <c r="L19" i="18" l="1"/>
  <c r="L20" i="18"/>
  <c r="L18" i="18"/>
  <c r="L21" i="18" s="1"/>
  <c r="L22" i="18" l="1"/>
  <c r="L23" i="18" s="1"/>
  <c r="L28" i="18" l="1"/>
  <c r="L29" i="18" s="1"/>
  <c r="L34" i="18" s="1"/>
  <c r="J8" i="18"/>
  <c r="J7" i="18"/>
  <c r="J5" i="18"/>
  <c r="M18" i="18" l="1"/>
  <c r="M21" i="18" s="1"/>
  <c r="M20" i="18"/>
  <c r="M19" i="18"/>
  <c r="K21" i="18"/>
  <c r="J28" i="18"/>
  <c r="J27" i="18"/>
  <c r="K22" i="18" l="1"/>
  <c r="K23" i="18" s="1"/>
  <c r="M22" i="18"/>
  <c r="J17" i="18"/>
  <c r="J16" i="18"/>
  <c r="J15" i="18"/>
  <c r="J14" i="18"/>
  <c r="J4" i="18"/>
  <c r="J34" i="18"/>
  <c r="J33" i="18"/>
  <c r="J29" i="18"/>
  <c r="J23" i="18"/>
  <c r="J22" i="18"/>
  <c r="J21" i="18"/>
  <c r="J20" i="18"/>
  <c r="J19" i="18"/>
  <c r="J12" i="18"/>
  <c r="J18" i="18"/>
  <c r="J13" i="18"/>
  <c r="M23" i="18" l="1"/>
  <c r="M28" i="18" s="1"/>
  <c r="M29" i="18" s="1"/>
  <c r="M34" i="18" s="1"/>
  <c r="K28" i="18"/>
  <c r="K29" i="18" s="1"/>
  <c r="K34" i="18" s="1"/>
  <c r="I6" i="44" l="1"/>
</calcChain>
</file>

<file path=xl/sharedStrings.xml><?xml version="1.0" encoding="utf-8"?>
<sst xmlns="http://schemas.openxmlformats.org/spreadsheetml/2006/main" count="188" uniqueCount="136">
  <si>
    <t>Tax Rate Schedules</t>
  </si>
  <si>
    <t>Withholding Rate Schedules</t>
  </si>
  <si>
    <t>Standard Deductions</t>
  </si>
  <si>
    <t>Married-Joint / QW</t>
  </si>
  <si>
    <t>Single</t>
  </si>
  <si>
    <t>Head of Household</t>
  </si>
  <si>
    <t>HoH Withh. Rate Schedule</t>
  </si>
  <si>
    <t>(Tax Rate Schedule with Std Dedn)</t>
  </si>
  <si>
    <t>Taxable Income Threshold</t>
  </si>
  <si>
    <t>Base Tax
Amount</t>
  </si>
  <si>
    <t>Marginal Rate Over Threshold</t>
  </si>
  <si>
    <t>Base Withholding
Amount</t>
  </si>
  <si>
    <t>Wage Threshold</t>
  </si>
  <si>
    <t>Married Withholding Rate Schedule</t>
  </si>
  <si>
    <t>Single Withholding Rate Schedule</t>
  </si>
  <si>
    <t>Married-Joint Tax Rate Schedule</t>
  </si>
  <si>
    <t>Single Tax Rate Schedule</t>
  </si>
  <si>
    <t>Head of Household Tax Rate Schedule</t>
  </si>
  <si>
    <t>Step 1.</t>
  </si>
  <si>
    <t>a.</t>
  </si>
  <si>
    <t>b.</t>
  </si>
  <si>
    <t>Monthly</t>
  </si>
  <si>
    <t>Weekly</t>
  </si>
  <si>
    <t>c.</t>
  </si>
  <si>
    <t>Step 2.</t>
  </si>
  <si>
    <t>d.</t>
  </si>
  <si>
    <t>e.</t>
  </si>
  <si>
    <t>f.</t>
  </si>
  <si>
    <t>g.</t>
  </si>
  <si>
    <t>h.</t>
  </si>
  <si>
    <t>Step 3.</t>
  </si>
  <si>
    <t>Compute the tentative withholding amount</t>
  </si>
  <si>
    <t>Step 4.</t>
  </si>
  <si>
    <t>Convert this tentative amount to a pay-period amount</t>
  </si>
  <si>
    <t>Compute the final amount to withhold</t>
  </si>
  <si>
    <t>Daily</t>
  </si>
  <si>
    <t xml:space="preserve">  </t>
  </si>
  <si>
    <t>i.</t>
  </si>
  <si>
    <t>WRSMJ</t>
  </si>
  <si>
    <t>WRSS</t>
  </si>
  <si>
    <t>WRSHH</t>
  </si>
  <si>
    <t>TRSMJ</t>
  </si>
  <si>
    <t>TRSS</t>
  </si>
  <si>
    <t>TRSHH</t>
  </si>
  <si>
    <t>SDMJ</t>
  </si>
  <si>
    <t>SDS</t>
  </si>
  <si>
    <t>SDHH</t>
  </si>
  <si>
    <r>
      <t xml:space="preserve">Add lines 3c and 4a.  </t>
    </r>
    <r>
      <rPr>
        <b/>
        <sz val="10"/>
        <color indexed="8"/>
        <rFont val="Arial"/>
        <family val="2"/>
      </rPr>
      <t>This is the amount to withhold from the employee's wage this pay period.</t>
    </r>
  </si>
  <si>
    <t>Enter the amount on line 4a of the employee's most recent Form W-4:</t>
  </si>
  <si>
    <t>Enter the amount on line 4b of the employee's most recent Form W-4:</t>
  </si>
  <si>
    <t>(Particularly for Dual Earners)</t>
  </si>
  <si>
    <t>HWRSMJ</t>
  </si>
  <si>
    <t>Higher Married Withholding Rate Schedule</t>
  </si>
  <si>
    <t>HWRSS</t>
  </si>
  <si>
    <t>Higher Single Withholding Rate Schedule</t>
  </si>
  <si>
    <t>HWRSHH</t>
  </si>
  <si>
    <t>Higher HoH Withh. Rate Schedule</t>
  </si>
  <si>
    <t>If the employee has submitted a Form W-4 for 2020 or later, enter the amount from Step 3 of that form.  Otherwise enter zero.</t>
  </si>
  <si>
    <t>Enter the additional amount to withhold from the employee's Form W-4 (line 4c of the 2020 form or line 6 on earlier forms).</t>
  </si>
  <si>
    <t>Allowance:</t>
  </si>
  <si>
    <t>j.</t>
  </si>
  <si>
    <t>k.</t>
  </si>
  <si>
    <t>l.</t>
  </si>
  <si>
    <t>m.</t>
  </si>
  <si>
    <t>n.</t>
  </si>
  <si>
    <t xml:space="preserve">Add lines d and e.  </t>
  </si>
  <si>
    <r>
      <t xml:space="preserve">Subtract line g from line f.  This is the </t>
    </r>
    <r>
      <rPr>
        <b/>
        <sz val="10"/>
        <color rgb="FF000000"/>
        <rFont val="Arial"/>
        <family val="2"/>
      </rPr>
      <t>Adjusted Annual Wage Amount</t>
    </r>
    <r>
      <rPr>
        <sz val="10"/>
        <color indexed="8"/>
        <rFont val="Arial"/>
        <family val="2"/>
      </rPr>
      <t>:</t>
    </r>
  </si>
  <si>
    <t>Subtract line 2i from line 2h:</t>
  </si>
  <si>
    <t>Multiply the amount on line 2l by the percentage on line 2k:</t>
  </si>
  <si>
    <t>Divide the amount on line 3b by the number of pay periods on line 2c:</t>
  </si>
  <si>
    <t>Adjust the employee's wage amount</t>
  </si>
  <si>
    <r>
      <t xml:space="preserve">Subtract line c from line a.  </t>
    </r>
    <r>
      <rPr>
        <b/>
        <sz val="10"/>
        <color rgb="FF000000"/>
        <rFont val="Arial"/>
        <family val="2"/>
      </rPr>
      <t>This is the Adjusted Wage Amount:</t>
    </r>
  </si>
  <si>
    <t xml:space="preserve">Enter the employee's total taxable wage this period. </t>
  </si>
  <si>
    <t>Tax Parameters for</t>
  </si>
  <si>
    <t>Pay frequency:</t>
  </si>
  <si>
    <t>Every other week</t>
  </si>
  <si>
    <t>Twice a month</t>
  </si>
  <si>
    <t>Filing status:</t>
  </si>
  <si>
    <t>Filing Status</t>
  </si>
  <si>
    <t>Married Joint</t>
  </si>
  <si>
    <t>Pay Frequency</t>
  </si>
  <si>
    <t>Step 2 Checkbox</t>
  </si>
  <si>
    <t>No</t>
  </si>
  <si>
    <t>Yes</t>
  </si>
  <si>
    <t>Other adjustments</t>
  </si>
  <si>
    <t>c. Filing status:</t>
  </si>
  <si>
    <t>a. Other income amount:</t>
  </si>
  <si>
    <t>b. Deductions amount:</t>
  </si>
  <si>
    <t>Employee's taxable wage or salary amount this paycheck:</t>
  </si>
  <si>
    <t>Amount of Federal income tax to withhold from this paycheck:</t>
  </si>
  <si>
    <t>Employer's Computation of the Amount to Withhold</t>
  </si>
  <si>
    <t>Which W-4?</t>
  </si>
  <si>
    <t>Before 2020</t>
  </si>
  <si>
    <t>2020 or later</t>
  </si>
  <si>
    <t>Multiply line b by the amount in Lookup 1 for your pay frequency</t>
  </si>
  <si>
    <t>Married</t>
  </si>
  <si>
    <t>Married but use Single rate</t>
  </si>
  <si>
    <t>Number of withholding allowances:</t>
  </si>
  <si>
    <t>Additional amount to withhold:</t>
  </si>
  <si>
    <t>Which version of Form W-4 did the employee use?</t>
  </si>
  <si>
    <t>Enter the number of pay periods you have per year (see Lookup 2):</t>
  </si>
  <si>
    <t>New W-4</t>
  </si>
  <si>
    <t>Old W-4</t>
  </si>
  <si>
    <t>Normal</t>
  </si>
  <si>
    <t>Higher</t>
  </si>
  <si>
    <t>Subtract line 3a from the tentative annual withholding amount computed above on line 2n:</t>
  </si>
  <si>
    <t>Enter the Base Withholding Amount that corresponds to that Wage Threshold:</t>
  </si>
  <si>
    <t>Enter the marginal rate that corresponds to that Wage Threshold:</t>
  </si>
  <si>
    <t>Enter the Wage Threshold from the appropriate withholding rate schedule that corresponds to line 2h:</t>
  </si>
  <si>
    <r>
      <t>Add line 2j and line 2m.  This is the</t>
    </r>
    <r>
      <rPr>
        <b/>
        <sz val="10"/>
        <color indexed="8"/>
        <rFont val="Arial"/>
        <family val="2"/>
      </rPr>
      <t xml:space="preserve"> Tentative Annual Withholding Amount</t>
    </r>
    <r>
      <rPr>
        <sz val="10"/>
        <color indexed="8"/>
        <rFont val="Arial"/>
        <family val="2"/>
      </rPr>
      <t>.</t>
    </r>
  </si>
  <si>
    <t>RESULT</t>
  </si>
  <si>
    <r>
      <t xml:space="preserve">For </t>
    </r>
    <r>
      <rPr>
        <b/>
        <sz val="10"/>
        <color rgb="FF000000"/>
        <rFont val="Arial"/>
        <family val="2"/>
      </rPr>
      <t>Old</t>
    </r>
    <r>
      <rPr>
        <sz val="10"/>
        <color indexed="8"/>
        <rFont val="Arial"/>
        <family val="2"/>
      </rPr>
      <t xml:space="preserve"> Form W-4, enter the number of allowances claimed on the employee's most recent Form W-4:</t>
    </r>
  </si>
  <si>
    <r>
      <t xml:space="preserve">Multiply the amount on line 1d by the number on line 2c.  This is the </t>
    </r>
    <r>
      <rPr>
        <b/>
        <sz val="10"/>
        <color indexed="8"/>
        <rFont val="Arial"/>
        <family val="2"/>
      </rPr>
      <t>Annualized Wage Amount</t>
    </r>
    <r>
      <rPr>
        <sz val="10"/>
        <color indexed="8"/>
        <rFont val="Arial"/>
        <family val="2"/>
      </rPr>
      <t>.</t>
    </r>
  </si>
  <si>
    <t>HIGHER</t>
  </si>
  <si>
    <t>STANDARD - New W-4s</t>
  </si>
  <si>
    <t>WRSMJ2020</t>
  </si>
  <si>
    <t>WRSS2020</t>
  </si>
  <si>
    <t>WRSHH2020</t>
  </si>
  <si>
    <t>STANDARD - Old W-4s</t>
  </si>
  <si>
    <t>c. Extra withholding amount:</t>
  </si>
  <si>
    <t>Periods</t>
  </si>
  <si>
    <t>Allowance</t>
  </si>
  <si>
    <t>Step 4d Exempt</t>
  </si>
  <si>
    <t>(Sequenced for drop-down)</t>
  </si>
  <si>
    <t>2019 Filing Status</t>
  </si>
  <si>
    <t>2019 Exempt</t>
  </si>
  <si>
    <r>
      <t xml:space="preserve">For </t>
    </r>
    <r>
      <rPr>
        <b/>
        <sz val="10"/>
        <color rgb="FF000000"/>
        <rFont val="Arial"/>
        <family val="2"/>
      </rPr>
      <t>New</t>
    </r>
    <r>
      <rPr>
        <sz val="10"/>
        <color indexed="8"/>
        <rFont val="Arial"/>
        <family val="2"/>
      </rPr>
      <t xml:space="preserve"> Form W-4, enter 0:</t>
    </r>
  </si>
  <si>
    <t>Did the employee check the box in (c)?</t>
  </si>
  <si>
    <t>Total amount on line 3</t>
  </si>
  <si>
    <t>Information from the employee's most recent Form W-4
if used a 2019 or earlier version</t>
  </si>
  <si>
    <t>Information from the employee's most recent Form W-4
if used 2020 or later version</t>
  </si>
  <si>
    <r>
      <rPr>
        <i/>
        <u/>
        <sz val="10"/>
        <color rgb="FF000000"/>
        <rFont val="Arial"/>
        <family val="2"/>
      </rPr>
      <t>Withhold no federal income tax</t>
    </r>
    <r>
      <rPr>
        <i/>
        <sz val="10"/>
        <color indexed="8"/>
        <rFont val="Arial"/>
        <family val="2"/>
      </rPr>
      <t xml:space="preserve"> if on the Form W-4 the employee
claimed to be exempt from withholding. </t>
    </r>
  </si>
  <si>
    <t>Income Tax Withholding Assistant
For Employers</t>
  </si>
  <si>
    <t>(For use with both 2022 and earlier Forms W-4)</t>
  </si>
  <si>
    <r>
      <t xml:space="preserve">This Assistant implements the </t>
    </r>
    <r>
      <rPr>
        <b/>
        <sz val="10"/>
        <color theme="0"/>
        <rFont val="Arial"/>
        <family val="2"/>
      </rPr>
      <t>2022</t>
    </r>
    <r>
      <rPr>
        <sz val="10"/>
        <color theme="0"/>
        <rFont val="Arial"/>
        <family val="2"/>
      </rPr>
      <t xml:space="preserve"> IRS Publication 15-T, </t>
    </r>
    <r>
      <rPr>
        <i/>
        <sz val="10"/>
        <color theme="0"/>
        <rFont val="Arial"/>
        <family val="2"/>
      </rPr>
      <t>Federal Income Tax Withholding Methods</t>
    </r>
    <r>
      <rPr>
        <sz val="10"/>
        <color theme="0"/>
        <rFont val="Arial"/>
        <family val="2"/>
      </rPr>
      <t xml:space="preserve">.  Enter the three items requested in the upper left corner, then fill in the relevant information from the employee's Form W-4.  The amount of Federal income tax to withhold from this paycheck is provided in the upper right corner.  </t>
    </r>
    <r>
      <rPr>
        <b/>
        <sz val="10"/>
        <color theme="0"/>
        <rFont val="Arial"/>
        <family val="2"/>
      </rPr>
      <t>You may save a separate copy of this calculator for each employee</t>
    </r>
    <r>
      <rPr>
        <sz val="10"/>
        <color theme="0"/>
        <rFont val="Arial"/>
        <family val="2"/>
      </rPr>
      <t xml:space="preserve"> (to avoid having to re-enter the W-4 information each pay period).</t>
    </r>
  </si>
  <si>
    <r>
      <rPr>
        <b/>
        <sz val="10"/>
        <color rgb="FF000000"/>
        <rFont val="Arial"/>
        <family val="2"/>
      </rPr>
      <t>NOTE:</t>
    </r>
    <r>
      <rPr>
        <sz val="10"/>
        <color indexed="8"/>
        <rFont val="Arial"/>
        <family val="2"/>
      </rPr>
      <t xml:space="preserve"> This Assistant will no longer be available after 2022, so use 2022 to become familiar with how to use the worksheets and tables in Publication 15-T.  
</t>
    </r>
    <r>
      <rPr>
        <b/>
        <i/>
        <sz val="10"/>
        <color rgb="FF000000"/>
        <rFont val="Arial"/>
        <family val="2"/>
      </rPr>
      <t>Tip:</t>
    </r>
    <r>
      <rPr>
        <sz val="10"/>
        <color indexed="8"/>
        <rFont val="Arial"/>
        <family val="2"/>
      </rPr>
      <t xml:space="preserve"> During 2022, practice using the worksheets and tables, then verify that you get the same results when you use this Income Tax Withholding Assistant for Employers.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</si>
</sst>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0.00_)"/>
    <numFmt numFmtId="166" formatCode="0_)"/>
    <numFmt numFmtId="167" formatCode="&quot;$&quot;#,##0.00"/>
  </numFmts>
  <fonts count="25" x14ac:knownFonts="1">
    <font>
      <sz val="10"/>
      <color indexed="8"/>
      <name val="Arial"/>
    </font>
    <font>
      <sz val="11"/>
      <color theme="1"/>
      <name val="Helvetica Neue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i/>
      <sz val="10"/>
      <color theme="0"/>
      <name val="Arial"/>
      <family val="2"/>
    </font>
    <font>
      <b/>
      <sz val="10"/>
      <color rgb="FFC00000"/>
      <name val="Arial"/>
      <family val="2"/>
    </font>
    <font>
      <sz val="10"/>
      <color indexed="8"/>
      <name val="Arial"/>
      <family val="2"/>
    </font>
    <font>
      <b/>
      <sz val="12"/>
      <color theme="0"/>
      <name val="Arial"/>
      <family val="2"/>
    </font>
    <font>
      <i/>
      <sz val="10"/>
      <color indexed="8"/>
      <name val="Arial"/>
      <family val="2"/>
    </font>
    <font>
      <i/>
      <u/>
      <sz val="10"/>
      <color rgb="FF000000"/>
      <name val="Arial"/>
      <family val="2"/>
    </font>
    <font>
      <b/>
      <sz val="10"/>
      <color theme="0"/>
      <name val="Arial"/>
      <family val="2"/>
    </font>
    <font>
      <b/>
      <i/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34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73AF"/>
        <bgColor indexed="64"/>
      </patternFill>
    </fill>
    <fill>
      <patternFill patternType="solid">
        <fgColor rgb="FFE4F3FB"/>
        <bgColor indexed="64"/>
      </patternFill>
    </fill>
    <fill>
      <patternFill patternType="solid">
        <fgColor rgb="FFECF8E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6" fillId="0" borderId="1"/>
    <xf numFmtId="0" fontId="4" fillId="0" borderId="1" applyNumberFormat="0" applyFill="0" applyBorder="0" applyProtection="0"/>
    <xf numFmtId="0" fontId="5" fillId="0" borderId="1"/>
    <xf numFmtId="9" fontId="4" fillId="0" borderId="1" applyFont="0" applyFill="0" applyBorder="0" applyAlignment="0" applyProtection="0"/>
    <xf numFmtId="0" fontId="1" fillId="0" borderId="1"/>
    <xf numFmtId="0" fontId="12" fillId="0" borderId="1" applyNumberFormat="0" applyFill="0" applyBorder="0" applyProtection="0"/>
    <xf numFmtId="9" fontId="1" fillId="0" borderId="1" applyFont="0" applyFill="0" applyBorder="0" applyAlignment="0" applyProtection="0"/>
    <xf numFmtId="44" fontId="19" fillId="0" borderId="0" applyFont="0" applyFill="0" applyBorder="0" applyAlignment="0" applyProtection="0"/>
  </cellStyleXfs>
  <cellXfs count="166">
    <xf numFmtId="0" fontId="0" fillId="0" borderId="0" xfId="0"/>
    <xf numFmtId="0" fontId="6" fillId="0" borderId="1" xfId="1"/>
    <xf numFmtId="0" fontId="7" fillId="2" borderId="1" xfId="1" applyFont="1" applyFill="1" applyAlignment="1">
      <alignment horizontal="centerContinuous"/>
    </xf>
    <xf numFmtId="0" fontId="7" fillId="3" borderId="1" xfId="1" applyFont="1" applyFill="1" applyAlignment="1">
      <alignment horizontal="centerContinuous"/>
    </xf>
    <xf numFmtId="164" fontId="8" fillId="0" borderId="1" xfId="1" applyNumberFormat="1" applyFont="1"/>
    <xf numFmtId="0" fontId="6" fillId="4" borderId="1" xfId="1" applyFill="1" applyAlignment="1">
      <alignment horizontal="centerContinuous"/>
    </xf>
    <xf numFmtId="0" fontId="6" fillId="5" borderId="1" xfId="1" applyFill="1" applyAlignment="1">
      <alignment horizontal="centerContinuous"/>
    </xf>
    <xf numFmtId="165" fontId="6" fillId="0" borderId="1" xfId="1" applyNumberFormat="1"/>
    <xf numFmtId="7" fontId="6" fillId="0" borderId="1" xfId="1" applyNumberFormat="1"/>
    <xf numFmtId="0" fontId="9" fillId="0" borderId="1" xfId="1" applyFont="1" applyAlignment="1">
      <alignment horizontal="left"/>
    </xf>
    <xf numFmtId="0" fontId="5" fillId="0" borderId="1" xfId="1" applyFont="1" applyAlignment="1">
      <alignment horizontal="left"/>
    </xf>
    <xf numFmtId="0" fontId="6" fillId="0" borderId="1" xfId="1" applyAlignment="1">
      <alignment horizontal="right" wrapText="1"/>
    </xf>
    <xf numFmtId="0" fontId="10" fillId="0" borderId="1" xfId="1" applyFont="1" applyAlignment="1">
      <alignment vertical="center"/>
    </xf>
    <xf numFmtId="0" fontId="2" fillId="0" borderId="1" xfId="2" applyFont="1" applyAlignment="1">
      <alignment horizontal="centerContinuous" vertical="top"/>
    </xf>
    <xf numFmtId="0" fontId="4" fillId="0" borderId="1" xfId="2" applyAlignment="1">
      <alignment horizontal="centerContinuous"/>
    </xf>
    <xf numFmtId="0" fontId="4" fillId="0" borderId="1" xfId="2"/>
    <xf numFmtId="0" fontId="2" fillId="0" borderId="1" xfId="2" applyFont="1"/>
    <xf numFmtId="0" fontId="4" fillId="0" borderId="1" xfId="2" applyAlignment="1">
      <alignment horizontal="right"/>
    </xf>
    <xf numFmtId="0" fontId="4" fillId="0" borderId="7" xfId="2" applyBorder="1"/>
    <xf numFmtId="0" fontId="4" fillId="0" borderId="11" xfId="2" applyBorder="1"/>
    <xf numFmtId="0" fontId="4" fillId="0" borderId="1" xfId="2" applyBorder="1"/>
    <xf numFmtId="0" fontId="4" fillId="0" borderId="1" xfId="2" applyAlignment="1">
      <alignment horizontal="right" vertical="top"/>
    </xf>
    <xf numFmtId="0" fontId="4" fillId="0" borderId="1" xfId="2" applyAlignment="1">
      <alignment vertical="top"/>
    </xf>
    <xf numFmtId="0" fontId="4" fillId="0" borderId="8" xfId="2" applyBorder="1"/>
    <xf numFmtId="0" fontId="3" fillId="0" borderId="8" xfId="2" applyFont="1" applyBorder="1" applyAlignment="1">
      <alignment horizontal="center" vertical="center"/>
    </xf>
    <xf numFmtId="5" fontId="5" fillId="0" borderId="1" xfId="3" applyNumberFormat="1"/>
    <xf numFmtId="0" fontId="4" fillId="0" borderId="0" xfId="0" applyFont="1"/>
    <xf numFmtId="0" fontId="4" fillId="0" borderId="7" xfId="0" applyFont="1" applyBorder="1"/>
    <xf numFmtId="0" fontId="4" fillId="0" borderId="0" xfId="0" applyFont="1" applyAlignment="1">
      <alignment horizontal="right"/>
    </xf>
    <xf numFmtId="0" fontId="0" fillId="0" borderId="1" xfId="1" applyFont="1"/>
    <xf numFmtId="0" fontId="0" fillId="5" borderId="1" xfId="1" applyFont="1" applyFill="1"/>
    <xf numFmtId="0" fontId="6" fillId="4" borderId="1" xfId="1" applyFill="1" applyAlignment="1">
      <alignment horizontal="left"/>
    </xf>
    <xf numFmtId="0" fontId="0" fillId="0" borderId="1" xfId="1" applyFont="1" applyAlignment="1">
      <alignment horizontal="left"/>
    </xf>
    <xf numFmtId="0" fontId="4" fillId="0" borderId="13" xfId="0" applyFont="1" applyBorder="1"/>
    <xf numFmtId="0" fontId="4" fillId="0" borderId="13" xfId="2" applyBorder="1"/>
    <xf numFmtId="0" fontId="4" fillId="0" borderId="13" xfId="2" applyBorder="1" applyAlignment="1">
      <alignment horizontal="right"/>
    </xf>
    <xf numFmtId="0" fontId="4" fillId="0" borderId="14" xfId="2" applyBorder="1" applyAlignment="1">
      <alignment vertical="top"/>
    </xf>
    <xf numFmtId="0" fontId="7" fillId="9" borderId="1" xfId="3" applyFont="1" applyFill="1" applyAlignment="1">
      <alignment horizontal="centerContinuous"/>
    </xf>
    <xf numFmtId="0" fontId="5" fillId="0" borderId="1" xfId="3"/>
    <xf numFmtId="0" fontId="5" fillId="0" borderId="1" xfId="3" applyAlignment="1">
      <alignment horizontal="right" wrapText="1"/>
    </xf>
    <xf numFmtId="0" fontId="0" fillId="5" borderId="1" xfId="3" applyFont="1" applyFill="1"/>
    <xf numFmtId="0" fontId="5" fillId="5" borderId="1" xfId="3" applyFill="1" applyAlignment="1">
      <alignment horizontal="centerContinuous"/>
    </xf>
    <xf numFmtId="7" fontId="5" fillId="0" borderId="1" xfId="3" applyNumberFormat="1"/>
    <xf numFmtId="165" fontId="5" fillId="0" borderId="1" xfId="3" applyNumberFormat="1"/>
    <xf numFmtId="0" fontId="5" fillId="0" borderId="1" xfId="1" applyFont="1"/>
    <xf numFmtId="0" fontId="4" fillId="0" borderId="13" xfId="0" applyFont="1" applyFill="1" applyBorder="1"/>
    <xf numFmtId="0" fontId="11" fillId="10" borderId="12" xfId="1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left"/>
    </xf>
    <xf numFmtId="0" fontId="14" fillId="0" borderId="8" xfId="2" applyFont="1" applyBorder="1"/>
    <xf numFmtId="0" fontId="14" fillId="0" borderId="5" xfId="0" applyFont="1" applyFill="1" applyBorder="1" applyAlignment="1" applyProtection="1">
      <alignment horizontal="left"/>
    </xf>
    <xf numFmtId="0" fontId="14" fillId="0" borderId="10" xfId="2" applyFont="1" applyBorder="1"/>
    <xf numFmtId="1" fontId="14" fillId="0" borderId="2" xfId="0" applyNumberFormat="1" applyFont="1" applyFill="1" applyBorder="1" applyAlignment="1" applyProtection="1">
      <alignment horizontal="center"/>
    </xf>
    <xf numFmtId="1" fontId="14" fillId="0" borderId="5" xfId="0" applyNumberFormat="1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167" fontId="4" fillId="0" borderId="7" xfId="0" applyNumberFormat="1" applyFont="1" applyBorder="1"/>
    <xf numFmtId="167" fontId="4" fillId="8" borderId="7" xfId="0" applyNumberFormat="1" applyFont="1" applyFill="1" applyBorder="1"/>
    <xf numFmtId="0" fontId="8" fillId="0" borderId="7" xfId="0" applyFont="1" applyBorder="1" applyAlignment="1" applyProtection="1">
      <alignment horizontal="left"/>
    </xf>
    <xf numFmtId="0" fontId="14" fillId="0" borderId="16" xfId="0" applyFont="1" applyFill="1" applyBorder="1" applyAlignment="1" applyProtection="1">
      <alignment horizontal="left"/>
    </xf>
    <xf numFmtId="0" fontId="14" fillId="0" borderId="17" xfId="0" applyFont="1" applyFill="1" applyBorder="1" applyAlignment="1" applyProtection="1">
      <alignment horizontal="left"/>
    </xf>
    <xf numFmtId="1" fontId="4" fillId="0" borderId="7" xfId="0" applyNumberFormat="1" applyFont="1" applyBorder="1"/>
    <xf numFmtId="167" fontId="4" fillId="0" borderId="7" xfId="2" applyNumberFormat="1" applyBorder="1"/>
    <xf numFmtId="0" fontId="3" fillId="0" borderId="1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64" fontId="4" fillId="0" borderId="7" xfId="0" applyNumberFormat="1" applyFont="1" applyBorder="1"/>
    <xf numFmtId="167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2" applyBorder="1" applyAlignment="1">
      <alignment horizontal="right"/>
    </xf>
    <xf numFmtId="9" fontId="4" fillId="0" borderId="7" xfId="0" applyNumberFormat="1" applyFont="1" applyBorder="1"/>
    <xf numFmtId="167" fontId="4" fillId="7" borderId="12" xfId="2" applyNumberFormat="1" applyFill="1" applyBorder="1"/>
    <xf numFmtId="164" fontId="4" fillId="7" borderId="7" xfId="2" applyNumberFormat="1" applyFill="1" applyBorder="1"/>
    <xf numFmtId="167" fontId="4" fillId="0" borderId="1" xfId="2" applyNumberFormat="1"/>
    <xf numFmtId="0" fontId="3" fillId="6" borderId="15" xfId="2" applyFont="1" applyFill="1" applyBorder="1" applyAlignment="1">
      <alignment horizontal="center"/>
    </xf>
    <xf numFmtId="0" fontId="3" fillId="0" borderId="16" xfId="2" applyFont="1" applyBorder="1" applyAlignment="1">
      <alignment horizontal="center" vertical="center"/>
    </xf>
    <xf numFmtId="167" fontId="3" fillId="6" borderId="12" xfId="2" applyNumberFormat="1" applyFont="1" applyFill="1" applyBorder="1" applyAlignment="1">
      <alignment vertical="center"/>
    </xf>
    <xf numFmtId="0" fontId="4" fillId="13" borderId="16" xfId="2" applyFill="1" applyBorder="1"/>
    <xf numFmtId="0" fontId="4" fillId="13" borderId="7" xfId="2" applyFill="1" applyBorder="1"/>
    <xf numFmtId="0" fontId="2" fillId="0" borderId="1" xfId="2" applyFont="1" applyAlignment="1">
      <alignment horizontal="right" vertical="center"/>
    </xf>
    <xf numFmtId="0" fontId="2" fillId="0" borderId="1" xfId="2" applyFont="1" applyAlignment="1">
      <alignment horizontal="right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6" borderId="1" xfId="3" applyFont="1" applyFill="1" applyAlignment="1">
      <alignment horizontal="centerContinuous"/>
    </xf>
    <xf numFmtId="0" fontId="15" fillId="14" borderId="0" xfId="0" applyFont="1" applyFill="1" applyAlignment="1">
      <alignment vertical="center"/>
    </xf>
    <xf numFmtId="0" fontId="0" fillId="15" borderId="4" xfId="0" applyFill="1" applyBorder="1"/>
    <xf numFmtId="0" fontId="0" fillId="15" borderId="11" xfId="0" applyFill="1" applyBorder="1"/>
    <xf numFmtId="0" fontId="0" fillId="15" borderId="9" xfId="0" applyFill="1" applyBorder="1"/>
    <xf numFmtId="0" fontId="3" fillId="15" borderId="2" xfId="0" applyFont="1" applyFill="1" applyBorder="1"/>
    <xf numFmtId="0" fontId="0" fillId="15" borderId="1" xfId="0" applyFill="1" applyBorder="1"/>
    <xf numFmtId="0" fontId="0" fillId="15" borderId="8" xfId="0" applyFill="1" applyBorder="1"/>
    <xf numFmtId="0" fontId="0" fillId="15" borderId="0" xfId="0" applyFill="1"/>
    <xf numFmtId="0" fontId="3" fillId="15" borderId="1" xfId="0" applyFont="1" applyFill="1" applyBorder="1"/>
    <xf numFmtId="0" fontId="0" fillId="15" borderId="2" xfId="0" applyFill="1" applyBorder="1"/>
    <xf numFmtId="0" fontId="4" fillId="15" borderId="1" xfId="0" applyFont="1" applyFill="1" applyBorder="1"/>
    <xf numFmtId="164" fontId="4" fillId="11" borderId="7" xfId="0" applyNumberFormat="1" applyFont="1" applyFill="1" applyBorder="1" applyProtection="1">
      <protection locked="0"/>
    </xf>
    <xf numFmtId="0" fontId="8" fillId="17" borderId="2" xfId="0" applyFont="1" applyFill="1" applyBorder="1"/>
    <xf numFmtId="0" fontId="14" fillId="17" borderId="1" xfId="0" applyFont="1" applyFill="1" applyBorder="1"/>
    <xf numFmtId="0" fontId="14" fillId="17" borderId="8" xfId="0" applyFont="1" applyFill="1" applyBorder="1"/>
    <xf numFmtId="0" fontId="14" fillId="17" borderId="2" xfId="0" applyFont="1" applyFill="1" applyBorder="1"/>
    <xf numFmtId="0" fontId="14" fillId="17" borderId="1" xfId="0" applyFont="1" applyFill="1" applyBorder="1" applyAlignment="1">
      <alignment horizontal="center"/>
    </xf>
    <xf numFmtId="0" fontId="15" fillId="17" borderId="5" xfId="0" applyFont="1" applyFill="1" applyBorder="1"/>
    <xf numFmtId="0" fontId="15" fillId="17" borderId="6" xfId="0" applyFont="1" applyFill="1" applyBorder="1"/>
    <xf numFmtId="0" fontId="15" fillId="17" borderId="10" xfId="0" applyFont="1" applyFill="1" applyBorder="1"/>
    <xf numFmtId="0" fontId="8" fillId="18" borderId="2" xfId="0" applyFont="1" applyFill="1" applyBorder="1"/>
    <xf numFmtId="0" fontId="14" fillId="18" borderId="1" xfId="0" applyFont="1" applyFill="1" applyBorder="1"/>
    <xf numFmtId="0" fontId="14" fillId="18" borderId="8" xfId="0" applyFont="1" applyFill="1" applyBorder="1"/>
    <xf numFmtId="0" fontId="14" fillId="18" borderId="2" xfId="0" applyFont="1" applyFill="1" applyBorder="1"/>
    <xf numFmtId="0" fontId="8" fillId="18" borderId="1" xfId="0" applyFont="1" applyFill="1" applyBorder="1"/>
    <xf numFmtId="0" fontId="16" fillId="14" borderId="7" xfId="0" applyFont="1" applyFill="1" applyBorder="1" applyAlignment="1">
      <alignment vertical="center"/>
    </xf>
    <xf numFmtId="164" fontId="4" fillId="11" borderId="7" xfId="0" applyNumberFormat="1" applyFont="1" applyFill="1" applyBorder="1" applyAlignment="1" applyProtection="1">
      <alignment horizontal="right"/>
      <protection locked="0"/>
    </xf>
    <xf numFmtId="0" fontId="3" fillId="0" borderId="1" xfId="2" applyFont="1"/>
    <xf numFmtId="167" fontId="4" fillId="11" borderId="7" xfId="0" applyNumberFormat="1" applyFont="1" applyFill="1" applyBorder="1" applyProtection="1">
      <protection locked="0"/>
    </xf>
    <xf numFmtId="1" fontId="14" fillId="11" borderId="7" xfId="0" applyNumberFormat="1" applyFont="1" applyFill="1" applyBorder="1" applyAlignment="1" applyProtection="1">
      <alignment horizontal="right"/>
      <protection locked="0"/>
    </xf>
    <xf numFmtId="167" fontId="14" fillId="11" borderId="7" xfId="0" applyNumberFormat="1" applyFont="1" applyFill="1" applyBorder="1" applyAlignment="1" applyProtection="1">
      <alignment horizontal="right"/>
      <protection locked="0"/>
    </xf>
    <xf numFmtId="164" fontId="4" fillId="0" borderId="1" xfId="2" applyNumberFormat="1" applyBorder="1" applyAlignment="1">
      <alignment horizontal="right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1" xfId="2" applyFont="1" applyBorder="1"/>
    <xf numFmtId="1" fontId="14" fillId="11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/>
    </xf>
    <xf numFmtId="0" fontId="14" fillId="0" borderId="1" xfId="2" applyFont="1" applyBorder="1"/>
    <xf numFmtId="1" fontId="14" fillId="0" borderId="1" xfId="0" applyNumberFormat="1" applyFont="1" applyFill="1" applyBorder="1" applyAlignment="1" applyProtection="1">
      <alignment horizontal="center"/>
    </xf>
    <xf numFmtId="0" fontId="4" fillId="0" borderId="4" xfId="2" applyBorder="1"/>
    <xf numFmtId="167" fontId="4" fillId="0" borderId="9" xfId="8" applyNumberFormat="1" applyFont="1" applyBorder="1" applyAlignment="1"/>
    <xf numFmtId="0" fontId="4" fillId="0" borderId="2" xfId="2" applyBorder="1"/>
    <xf numFmtId="167" fontId="4" fillId="0" borderId="8" xfId="8" applyNumberFormat="1" applyFont="1" applyBorder="1" applyAlignment="1"/>
    <xf numFmtId="0" fontId="4" fillId="0" borderId="5" xfId="2" applyBorder="1"/>
    <xf numFmtId="0" fontId="4" fillId="0" borderId="6" xfId="2" applyBorder="1"/>
    <xf numFmtId="167" fontId="4" fillId="0" borderId="10" xfId="8" applyNumberFormat="1" applyFont="1" applyBorder="1" applyAlignment="1"/>
    <xf numFmtId="0" fontId="4" fillId="0" borderId="9" xfId="2" applyBorder="1"/>
    <xf numFmtId="0" fontId="4" fillId="0" borderId="10" xfId="2" applyBorder="1"/>
    <xf numFmtId="0" fontId="8" fillId="0" borderId="1" xfId="0" applyFont="1" applyBorder="1" applyAlignment="1" applyProtection="1">
      <alignment horizontal="center" vertical="center"/>
    </xf>
    <xf numFmtId="1" fontId="14" fillId="11" borderId="7" xfId="0" applyNumberFormat="1" applyFont="1" applyFill="1" applyBorder="1" applyAlignment="1" applyProtection="1">
      <alignment horizontal="left"/>
      <protection locked="0"/>
    </xf>
    <xf numFmtId="166" fontId="14" fillId="11" borderId="4" xfId="0" applyNumberFormat="1" applyFont="1" applyFill="1" applyBorder="1" applyProtection="1"/>
    <xf numFmtId="166" fontId="14" fillId="11" borderId="2" xfId="0" applyNumberFormat="1" applyFont="1" applyFill="1" applyBorder="1" applyProtection="1"/>
    <xf numFmtId="166" fontId="14" fillId="11" borderId="5" xfId="0" applyNumberFormat="1" applyFont="1" applyFill="1" applyBorder="1" applyProtection="1"/>
    <xf numFmtId="0" fontId="14" fillId="0" borderId="4" xfId="0" applyFont="1" applyFill="1" applyBorder="1" applyAlignment="1" applyProtection="1">
      <alignment horizontal="left"/>
    </xf>
    <xf numFmtId="0" fontId="14" fillId="0" borderId="9" xfId="2" applyFont="1" applyBorder="1"/>
    <xf numFmtId="164" fontId="3" fillId="11" borderId="7" xfId="0" applyNumberFormat="1" applyFont="1" applyFill="1" applyBorder="1" applyAlignment="1">
      <alignment horizontal="right"/>
    </xf>
    <xf numFmtId="0" fontId="20" fillId="14" borderId="0" xfId="0" applyFont="1" applyFill="1" applyAlignment="1">
      <alignment horizontal="left" vertical="center"/>
    </xf>
    <xf numFmtId="164" fontId="4" fillId="11" borderId="7" xfId="0" applyNumberFormat="1" applyFont="1" applyFill="1" applyBorder="1" applyAlignment="1" applyProtection="1">
      <alignment vertical="center"/>
      <protection locked="0"/>
    </xf>
    <xf numFmtId="164" fontId="8" fillId="3" borderId="1" xfId="1" applyNumberFormat="1" applyFont="1" applyFill="1"/>
    <xf numFmtId="5" fontId="6" fillId="3" borderId="1" xfId="1" applyNumberFormat="1" applyFill="1"/>
    <xf numFmtId="7" fontId="5" fillId="3" borderId="1" xfId="3" applyNumberFormat="1" applyFill="1"/>
    <xf numFmtId="165" fontId="5" fillId="3" borderId="1" xfId="3" applyNumberFormat="1" applyFill="1"/>
    <xf numFmtId="5" fontId="5" fillId="3" borderId="1" xfId="3" applyNumberFormat="1" applyFill="1"/>
    <xf numFmtId="0" fontId="0" fillId="0" borderId="1" xfId="0" applyBorder="1"/>
    <xf numFmtId="0" fontId="4" fillId="10" borderId="3" xfId="0" applyFont="1" applyFill="1" applyBorder="1" applyAlignment="1">
      <alignment vertical="center" wrapText="1"/>
    </xf>
    <xf numFmtId="0" fontId="0" fillId="10" borderId="18" xfId="0" applyFill="1" applyBorder="1" applyAlignment="1">
      <alignment vertical="center" wrapText="1"/>
    </xf>
    <xf numFmtId="0" fontId="0" fillId="10" borderId="19" xfId="0" applyFill="1" applyBorder="1" applyAlignment="1">
      <alignment vertical="center" wrapText="1"/>
    </xf>
    <xf numFmtId="0" fontId="18" fillId="15" borderId="5" xfId="0" applyFont="1" applyFill="1" applyBorder="1" applyAlignment="1">
      <alignment horizontal="center"/>
    </xf>
    <xf numFmtId="0" fontId="18" fillId="15" borderId="6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/>
    </xf>
    <xf numFmtId="0" fontId="15" fillId="16" borderId="11" xfId="0" applyFont="1" applyFill="1" applyBorder="1" applyAlignment="1">
      <alignment horizontal="left" vertical="top" wrapText="1"/>
    </xf>
    <xf numFmtId="0" fontId="15" fillId="16" borderId="1" xfId="0" applyFont="1" applyFill="1" applyBorder="1" applyAlignment="1">
      <alignment horizontal="left" vertical="top" wrapText="1"/>
    </xf>
    <xf numFmtId="0" fontId="16" fillId="14" borderId="5" xfId="0" applyFont="1" applyFill="1" applyBorder="1" applyAlignment="1">
      <alignment horizontal="right" vertical="center" wrapText="1"/>
    </xf>
    <xf numFmtId="0" fontId="16" fillId="14" borderId="6" xfId="0" applyFont="1" applyFill="1" applyBorder="1" applyAlignment="1">
      <alignment horizontal="right" vertical="center"/>
    </xf>
    <xf numFmtId="0" fontId="3" fillId="15" borderId="1" xfId="0" applyFont="1" applyFill="1" applyBorder="1" applyAlignment="1">
      <alignment horizontal="left" wrapText="1"/>
    </xf>
    <xf numFmtId="0" fontId="8" fillId="17" borderId="4" xfId="0" applyFont="1" applyFill="1" applyBorder="1" applyAlignment="1">
      <alignment horizontal="center" wrapText="1"/>
    </xf>
    <xf numFmtId="0" fontId="8" fillId="17" borderId="11" xfId="0" applyFont="1" applyFill="1" applyBorder="1" applyAlignment="1">
      <alignment horizontal="center" wrapText="1"/>
    </xf>
    <xf numFmtId="0" fontId="8" fillId="17" borderId="9" xfId="0" applyFont="1" applyFill="1" applyBorder="1" applyAlignment="1">
      <alignment horizontal="center" wrapText="1"/>
    </xf>
    <xf numFmtId="0" fontId="8" fillId="18" borderId="4" xfId="0" applyFont="1" applyFill="1" applyBorder="1" applyAlignment="1">
      <alignment horizontal="center" wrapText="1"/>
    </xf>
    <xf numFmtId="0" fontId="8" fillId="18" borderId="11" xfId="0" applyFont="1" applyFill="1" applyBorder="1" applyAlignment="1">
      <alignment horizontal="center" wrapText="1"/>
    </xf>
    <xf numFmtId="0" fontId="8" fillId="18" borderId="9" xfId="0" applyFont="1" applyFill="1" applyBorder="1" applyAlignment="1">
      <alignment horizontal="center" wrapText="1"/>
    </xf>
    <xf numFmtId="0" fontId="21" fillId="15" borderId="1" xfId="0" applyFont="1" applyFill="1" applyBorder="1" applyAlignment="1">
      <alignment horizontal="center" vertical="center" wrapText="1"/>
    </xf>
    <xf numFmtId="0" fontId="4" fillId="0" borderId="14" xfId="2" applyBorder="1" applyAlignment="1">
      <alignment vertical="top" wrapText="1"/>
    </xf>
    <xf numFmtId="0" fontId="3" fillId="12" borderId="4" xfId="2" applyFont="1" applyFill="1" applyBorder="1" applyAlignment="1">
      <alignment horizontal="center"/>
    </xf>
    <xf numFmtId="0" fontId="3" fillId="12" borderId="9" xfId="2" applyFont="1" applyFill="1" applyBorder="1" applyAlignment="1">
      <alignment horizontal="center"/>
    </xf>
    <xf numFmtId="0" fontId="4" fillId="0" borderId="14" xfId="2" applyBorder="1" applyAlignment="1">
      <alignment wrapText="1"/>
    </xf>
  </cellXfs>
  <cellStyles count="9">
    <cellStyle name="Currency" xfId="8" builtinId="4"/>
    <cellStyle name="Normal" xfId="0" builtinId="0"/>
    <cellStyle name="Normal 2" xfId="1" xr:uid="{AD86B7F5-E1BC-4963-972F-3FCBCF99A469}"/>
    <cellStyle name="Normal 2 2" xfId="3" xr:uid="{D308A011-847E-4891-AB10-29C4676824E9}"/>
    <cellStyle name="Normal 3" xfId="2" xr:uid="{DCF2245D-7B27-4A8D-9DB0-B9E292362CE8}"/>
    <cellStyle name="Normal 3 2" xfId="6" xr:uid="{A52F8D2C-29C1-4F9F-AAF6-90921D2213EA}"/>
    <cellStyle name="Normal 4" xfId="5" xr:uid="{835DCA1B-E9A7-4695-8ADD-0C8A9B3A3059}"/>
    <cellStyle name="Percent 2" xfId="4" xr:uid="{C48D89C1-0B5C-47E3-9914-E76D8BA26EAD}"/>
    <cellStyle name="Percent 3" xfId="7" xr:uid="{3C13A16E-997B-4E55-9FB2-AC8AB12032B3}"/>
  </cellStyles>
  <dxfs count="2"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2D050"/>
      <rgbColor rgb="FFFFFF00"/>
      <rgbColor rgb="FFA5A5A5"/>
      <rgbColor rgb="FFA5D5E2"/>
      <rgbColor rgb="FFA7A7A7"/>
      <rgbColor rgb="FFDDDDD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F8ED"/>
      <color rgb="FFE4F3FB"/>
      <color rgb="FF002346"/>
      <color rgb="FFD6D7D9"/>
      <color rgb="FFFFB7B7"/>
      <color rgb="FFFFFFFF"/>
      <color rgb="FF0073AF"/>
      <color rgb="FFF3F3F3"/>
      <color rgb="FFFFFFB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138398</xdr:colOff>
      <xdr:row>1</xdr:row>
      <xdr:rowOff>68649</xdr:rowOff>
    </xdr:from>
    <xdr:to>
      <xdr:col>2</xdr:col>
      <xdr:colOff>525309</xdr:colOff>
      <xdr:row>1</xdr:row>
      <xdr:rowOff>398849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7" y="198905"/>
          <a:ext cx="977461" cy="330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ds.irsnet.gov/Users/CXGCB/Documents/CXGCB_Documents/Calculators/WHC/W-4/Employer%20Instructions/TY2022/2022%20Pub%2015-T_09172021__DRAFT2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Rate Schedules"/>
      <sheetName val="Updated Rate Schedules"/>
      <sheetName val="Overview"/>
      <sheetName val="1A % Method Worksheet-Automated"/>
      <sheetName val="1B % Method Tables - Automated"/>
      <sheetName val="2A Wage Bracket Worksheet - New"/>
      <sheetName val="2B WageBracket-New-Weekly"/>
      <sheetName val="2C WageBracket-New-Biweekly"/>
      <sheetName val="2D WageBracket-New-Semimonthly"/>
      <sheetName val="2E WageBracket-New-Monthly"/>
      <sheetName val="2F WageBracket-New-Daily"/>
      <sheetName val="3A Wage Bracket Worksheet - Old"/>
      <sheetName val="3B WageBracket-Old-Weekly"/>
      <sheetName val="3C WageBracket Old-Biweekly"/>
      <sheetName val="3D WageBracket Old-Semimonthly"/>
      <sheetName val="3E WageBracket Old-Monthly"/>
      <sheetName val="3F WageBracket Old-Daily"/>
      <sheetName val="4A %Method Worksheet-Manual New"/>
      <sheetName val="4B %Method Manual New-Weekly"/>
      <sheetName val="4C %Method Manual New-Biweekly"/>
      <sheetName val="4D %Method Manual New-SMonthly"/>
      <sheetName val="4E %Method Manual New-Monthly"/>
      <sheetName val="4F %Method Manual New-Daily"/>
      <sheetName val="5A %Method Worksheet-Manual Old"/>
      <sheetName val="5B %Method Manual Old"/>
      <sheetName val="6A - Casino Profits"/>
    </sheetNames>
    <sheetDataSet>
      <sheetData sheetId="0">
        <row r="32">
          <cell r="F32">
            <v>0</v>
          </cell>
          <cell r="G32">
            <v>0</v>
          </cell>
          <cell r="H32">
            <v>0.1</v>
          </cell>
        </row>
        <row r="33">
          <cell r="F33">
            <v>13600</v>
          </cell>
          <cell r="G33">
            <v>1360</v>
          </cell>
          <cell r="H33">
            <v>0.12</v>
          </cell>
        </row>
        <row r="34">
          <cell r="F34">
            <v>51800</v>
          </cell>
          <cell r="G34">
            <v>5944</v>
          </cell>
          <cell r="H34">
            <v>0.22</v>
          </cell>
        </row>
        <row r="35">
          <cell r="F35">
            <v>82500</v>
          </cell>
          <cell r="G35">
            <v>12698</v>
          </cell>
          <cell r="H35">
            <v>0.24</v>
          </cell>
        </row>
        <row r="36">
          <cell r="F36">
            <v>157500</v>
          </cell>
          <cell r="G36">
            <v>30698</v>
          </cell>
          <cell r="H36">
            <v>0.32</v>
          </cell>
        </row>
        <row r="37">
          <cell r="F37">
            <v>200000</v>
          </cell>
          <cell r="G37">
            <v>44298</v>
          </cell>
          <cell r="H37">
            <v>0.35</v>
          </cell>
        </row>
        <row r="38">
          <cell r="F38">
            <v>500000</v>
          </cell>
          <cell r="G38">
            <v>149298</v>
          </cell>
          <cell r="H38">
            <v>0.37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5339-913C-4968-9017-BFF18A0C394D}">
  <sheetPr codeName="Sheet1"/>
  <dimension ref="B1:M26"/>
  <sheetViews>
    <sheetView showGridLines="0" showRowColHeaders="0" tabSelected="1" zoomScaleNormal="100" workbookViewId="0">
      <selection activeCell="D8" sqref="D8"/>
    </sheetView>
  </sheetViews>
  <sheetFormatPr baseColWidth="10" defaultColWidth="8.83203125" defaultRowHeight="13" x14ac:dyDescent="0.15"/>
  <cols>
    <col min="1" max="1" width="2" customWidth="1"/>
    <col min="2" max="2" width="8.83203125" customWidth="1"/>
    <col min="3" max="3" width="45.5" customWidth="1"/>
    <col min="4" max="4" width="17.33203125" customWidth="1"/>
    <col min="5" max="7" width="2.6640625" customWidth="1"/>
    <col min="8" max="8" width="40.33203125" customWidth="1"/>
    <col min="9" max="9" width="23.33203125" bestFit="1" customWidth="1"/>
    <col min="10" max="10" width="3.6640625" customWidth="1"/>
  </cols>
  <sheetData>
    <row r="1" spans="2:13" ht="10.5" customHeight="1" x14ac:dyDescent="0.15"/>
    <row r="2" spans="2:13" s="53" customFormat="1" ht="36" customHeight="1" x14ac:dyDescent="0.15">
      <c r="B2" s="105"/>
      <c r="C2" s="152" t="s">
        <v>132</v>
      </c>
      <c r="D2" s="153"/>
      <c r="E2" s="80"/>
      <c r="F2" s="80"/>
      <c r="G2" s="80"/>
      <c r="H2" s="136" t="s">
        <v>133</v>
      </c>
      <c r="I2" s="80"/>
      <c r="J2" s="80"/>
    </row>
    <row r="3" spans="2:13" x14ac:dyDescent="0.15">
      <c r="B3" s="89"/>
      <c r="C3" s="82"/>
      <c r="D3" s="82"/>
      <c r="E3" s="83"/>
      <c r="G3" s="81"/>
      <c r="H3" s="82"/>
      <c r="I3" s="82"/>
      <c r="J3" s="83"/>
    </row>
    <row r="4" spans="2:13" x14ac:dyDescent="0.15">
      <c r="B4" s="84" t="s">
        <v>74</v>
      </c>
      <c r="C4" s="85"/>
      <c r="D4" s="91" t="s">
        <v>75</v>
      </c>
      <c r="E4" s="86"/>
      <c r="G4" s="89"/>
      <c r="H4" s="88" t="s">
        <v>110</v>
      </c>
      <c r="I4" s="90"/>
      <c r="J4" s="86"/>
    </row>
    <row r="5" spans="2:13" x14ac:dyDescent="0.15">
      <c r="B5" s="89"/>
      <c r="C5" s="87"/>
      <c r="D5" s="85"/>
      <c r="E5" s="86"/>
      <c r="G5" s="89"/>
      <c r="H5" s="85"/>
      <c r="I5" s="85"/>
      <c r="J5" s="86"/>
    </row>
    <row r="6" spans="2:13" x14ac:dyDescent="0.15">
      <c r="B6" s="84" t="s">
        <v>88</v>
      </c>
      <c r="C6" s="87"/>
      <c r="D6" s="91"/>
      <c r="E6" s="86"/>
      <c r="G6" s="89"/>
      <c r="H6" s="154" t="s">
        <v>89</v>
      </c>
      <c r="I6" s="135">
        <f>IF(Calculations!Q10=2,IF(Calculations!Q23=2,0,IF(Calculations!Q19=1,Calculations!K34,Calculations!L34)),IF(Calculations!W23=2,0,Calculations!M34))</f>
        <v>0</v>
      </c>
      <c r="J6" s="86"/>
      <c r="M6" s="53"/>
    </row>
    <row r="7" spans="2:13" x14ac:dyDescent="0.15">
      <c r="B7" s="84"/>
      <c r="C7" s="87"/>
      <c r="D7" s="85"/>
      <c r="E7" s="86"/>
      <c r="G7" s="89"/>
      <c r="H7" s="154"/>
      <c r="I7" s="88"/>
      <c r="J7" s="86"/>
    </row>
    <row r="8" spans="2:13" ht="12.75" customHeight="1" x14ac:dyDescent="0.15">
      <c r="B8" s="84" t="s">
        <v>99</v>
      </c>
      <c r="C8" s="87"/>
      <c r="D8" s="137" t="s">
        <v>93</v>
      </c>
      <c r="E8" s="86"/>
      <c r="G8" s="89"/>
      <c r="H8" s="161" t="s">
        <v>131</v>
      </c>
      <c r="I8" s="161"/>
      <c r="J8" s="86"/>
    </row>
    <row r="9" spans="2:13" ht="21.75" customHeight="1" x14ac:dyDescent="0.15">
      <c r="B9" s="84"/>
      <c r="C9" s="87"/>
      <c r="D9" s="85"/>
      <c r="E9" s="86"/>
      <c r="G9" s="89"/>
      <c r="H9" s="161"/>
      <c r="I9" s="161"/>
      <c r="J9" s="86"/>
    </row>
    <row r="10" spans="2:13" ht="14.25" customHeight="1" x14ac:dyDescent="0.15">
      <c r="B10" s="147" t="str">
        <f>IF(Calculations!Q10=2,"Please enter the W-4 information in the fields below.","")</f>
        <v>Please enter the W-4 information in the fields below.</v>
      </c>
      <c r="C10" s="148"/>
      <c r="D10" s="148"/>
      <c r="E10" s="149"/>
      <c r="G10" s="147" t="str">
        <f>IF(Calculations!Q10=1,"Please enter the W-4 information in the data fields below.","")</f>
        <v/>
      </c>
      <c r="H10" s="148"/>
      <c r="I10" s="148"/>
      <c r="J10" s="149"/>
    </row>
    <row r="11" spans="2:13" ht="27.75" customHeight="1" x14ac:dyDescent="0.15">
      <c r="B11" s="158" t="s">
        <v>130</v>
      </c>
      <c r="C11" s="159"/>
      <c r="D11" s="159"/>
      <c r="E11" s="160"/>
      <c r="G11" s="155" t="s">
        <v>129</v>
      </c>
      <c r="H11" s="156"/>
      <c r="I11" s="156"/>
      <c r="J11" s="157"/>
    </row>
    <row r="12" spans="2:13" x14ac:dyDescent="0.15">
      <c r="B12" s="100"/>
      <c r="C12" s="101"/>
      <c r="D12" s="101"/>
      <c r="E12" s="102"/>
      <c r="G12" s="92"/>
      <c r="H12" s="93"/>
      <c r="I12" s="93"/>
      <c r="J12" s="94"/>
    </row>
    <row r="13" spans="2:13" x14ac:dyDescent="0.15">
      <c r="B13" s="100" t="s">
        <v>18</v>
      </c>
      <c r="C13" s="101" t="s">
        <v>85</v>
      </c>
      <c r="D13" s="91" t="s">
        <v>4</v>
      </c>
      <c r="E13" s="102"/>
      <c r="G13" s="92">
        <v>3</v>
      </c>
      <c r="H13" s="93" t="s">
        <v>77</v>
      </c>
      <c r="I13" s="129" t="s">
        <v>4</v>
      </c>
      <c r="J13" s="94"/>
    </row>
    <row r="14" spans="2:13" ht="12.75" customHeight="1" x14ac:dyDescent="0.15">
      <c r="B14" s="103"/>
      <c r="C14" s="101"/>
      <c r="D14" s="101"/>
      <c r="E14" s="102"/>
      <c r="G14" s="95"/>
      <c r="H14" s="93"/>
      <c r="I14" s="93"/>
      <c r="J14" s="94"/>
    </row>
    <row r="15" spans="2:13" x14ac:dyDescent="0.15">
      <c r="B15" s="100" t="s">
        <v>24</v>
      </c>
      <c r="C15" s="101" t="s">
        <v>127</v>
      </c>
      <c r="D15" s="106" t="s">
        <v>82</v>
      </c>
      <c r="E15" s="102"/>
      <c r="G15" s="92">
        <v>5</v>
      </c>
      <c r="H15" s="93" t="s">
        <v>97</v>
      </c>
      <c r="I15" s="109"/>
      <c r="J15" s="94"/>
    </row>
    <row r="16" spans="2:13" ht="12.75" customHeight="1" x14ac:dyDescent="0.15">
      <c r="B16" s="103"/>
      <c r="C16" s="101"/>
      <c r="D16" s="101"/>
      <c r="E16" s="102"/>
      <c r="G16" s="95"/>
      <c r="H16" s="93"/>
      <c r="I16" s="96"/>
      <c r="J16" s="94"/>
    </row>
    <row r="17" spans="2:10" x14ac:dyDescent="0.15">
      <c r="B17" s="100" t="s">
        <v>30</v>
      </c>
      <c r="C17" s="101" t="s">
        <v>128</v>
      </c>
      <c r="D17" s="91">
        <v>0</v>
      </c>
      <c r="E17" s="102"/>
      <c r="G17" s="92">
        <v>6</v>
      </c>
      <c r="H17" s="93" t="s">
        <v>98</v>
      </c>
      <c r="I17" s="110"/>
      <c r="J17" s="94"/>
    </row>
    <row r="18" spans="2:10" ht="16.5" customHeight="1" x14ac:dyDescent="0.15">
      <c r="B18" s="100" t="s">
        <v>32</v>
      </c>
      <c r="C18" s="104" t="s">
        <v>84</v>
      </c>
      <c r="D18" s="101"/>
      <c r="E18" s="102"/>
      <c r="G18" s="97"/>
      <c r="H18" s="98"/>
      <c r="I18" s="98"/>
      <c r="J18" s="99"/>
    </row>
    <row r="19" spans="2:10" ht="12.75" customHeight="1" x14ac:dyDescent="0.15">
      <c r="B19" s="103"/>
      <c r="C19" s="101" t="s">
        <v>86</v>
      </c>
      <c r="D19" s="91"/>
      <c r="E19" s="102"/>
    </row>
    <row r="20" spans="2:10" ht="12.75" customHeight="1" x14ac:dyDescent="0.15">
      <c r="B20" s="103"/>
      <c r="C20" s="101"/>
      <c r="D20" s="101"/>
      <c r="E20" s="102"/>
      <c r="G20" s="150" t="s">
        <v>134</v>
      </c>
      <c r="H20" s="150"/>
      <c r="I20" s="150"/>
      <c r="J20" s="150"/>
    </row>
    <row r="21" spans="2:10" ht="12.75" customHeight="1" x14ac:dyDescent="0.15">
      <c r="B21" s="103"/>
      <c r="C21" s="101" t="s">
        <v>87</v>
      </c>
      <c r="D21" s="91"/>
      <c r="E21" s="102"/>
      <c r="G21" s="151"/>
      <c r="H21" s="151"/>
      <c r="I21" s="151"/>
      <c r="J21" s="151"/>
    </row>
    <row r="22" spans="2:10" ht="12.75" customHeight="1" x14ac:dyDescent="0.15">
      <c r="B22" s="103"/>
      <c r="C22" s="101"/>
      <c r="D22" s="101"/>
      <c r="E22" s="102"/>
      <c r="G22" s="151"/>
      <c r="H22" s="151"/>
      <c r="I22" s="151"/>
      <c r="J22" s="151"/>
    </row>
    <row r="23" spans="2:10" ht="12.75" customHeight="1" x14ac:dyDescent="0.15">
      <c r="B23" s="103"/>
      <c r="C23" s="101" t="s">
        <v>119</v>
      </c>
      <c r="D23" s="108"/>
      <c r="E23" s="102"/>
      <c r="G23" s="151"/>
      <c r="H23" s="151"/>
      <c r="I23" s="151"/>
      <c r="J23" s="151"/>
    </row>
    <row r="24" spans="2:10" ht="12.75" customHeight="1" x14ac:dyDescent="0.15">
      <c r="B24" s="103"/>
      <c r="C24" s="101"/>
      <c r="D24" s="101"/>
      <c r="E24" s="102"/>
      <c r="G24" s="151"/>
      <c r="H24" s="151"/>
      <c r="I24" s="151"/>
      <c r="J24" s="151"/>
    </row>
    <row r="25" spans="2:10" ht="15" customHeight="1" x14ac:dyDescent="0.15">
      <c r="B25" s="103"/>
      <c r="C25" s="101"/>
      <c r="D25" s="101"/>
      <c r="E25" s="102"/>
      <c r="F25" s="143"/>
      <c r="G25" s="151"/>
      <c r="H25" s="151"/>
      <c r="I25" s="151"/>
      <c r="J25" s="151"/>
    </row>
    <row r="26" spans="2:10" ht="32.25" customHeight="1" x14ac:dyDescent="0.15">
      <c r="B26" s="144" t="s">
        <v>135</v>
      </c>
      <c r="C26" s="145"/>
      <c r="D26" s="145"/>
      <c r="E26" s="145"/>
      <c r="F26" s="145"/>
      <c r="G26" s="145"/>
      <c r="H26" s="145"/>
      <c r="I26" s="145"/>
      <c r="J26" s="146"/>
    </row>
  </sheetData>
  <sheetProtection algorithmName="SHA-512" hashValue="cvjuN7eVBqH4P3Ys7PyMm4/3Pl4nZ7uG0MSA2FHcc8/idPxRBOS7LIj6peUE3PWfa9yMWDHFmtMCEHrxW+ZrOA==" saltValue="5WIkFxhXiX1Mm2KXevZ/zQ==" spinCount="100000" sheet="1" objects="1" scenarios="1" selectLockedCells="1"/>
  <mergeCells count="9">
    <mergeCell ref="B26:J26"/>
    <mergeCell ref="B10:E10"/>
    <mergeCell ref="G10:J10"/>
    <mergeCell ref="G20:J25"/>
    <mergeCell ref="C2:D2"/>
    <mergeCell ref="H6:H7"/>
    <mergeCell ref="G11:J11"/>
    <mergeCell ref="B11:E11"/>
    <mergeCell ref="H8:I9"/>
  </mergeCells>
  <dataValidations count="7">
    <dataValidation type="decimal" operator="greaterThanOrEqual" allowBlank="1" showInputMessage="1" showErrorMessage="1" promptTitle="Line 6" prompt="Enter additional amount to withhold, if any" sqref="I17" xr:uid="{EF85E90A-3C06-4FD2-8F7F-3EE5FEBA67F3}">
      <formula1>0</formula1>
    </dataValidation>
    <dataValidation type="whole" operator="greaterThanOrEqual" allowBlank="1" showInputMessage="1" showErrorMessage="1" promptTitle="Line 5" prompt="Enter total number of withholding allowances claimed" sqref="I15" xr:uid="{757040CF-B55D-47CE-8B9B-6806027E0B49}">
      <formula1>0</formula1>
    </dataValidation>
    <dataValidation type="whole" operator="greaterThanOrEqual" allowBlank="1" showInputMessage="1" showErrorMessage="1" prompt="Enter taxable wage or salary amount this paycheck" sqref="D6" xr:uid="{102F3FF8-50BB-49E8-9476-C1E1D5F98BBB}">
      <formula1>0</formula1>
    </dataValidation>
    <dataValidation type="whole" operator="greaterThanOrEqual" allowBlank="1" showInputMessage="1" showErrorMessage="1" promptTitle="Step 3" prompt="Total amount for dependents and other claims on LIne 3" sqref="D17" xr:uid="{E20C87E0-C0AF-4F6C-95EA-78E42CE57814}">
      <formula1>0</formula1>
    </dataValidation>
    <dataValidation type="whole" operator="greaterThanOrEqual" allowBlank="1" showInputMessage="1" showErrorMessage="1" promptTitle="Step 4" prompt="Enter amount for other income on line 4(a)" sqref="D19" xr:uid="{FB7BE0AD-019A-4FB5-B850-CCD66D795E1E}">
      <formula1>0</formula1>
    </dataValidation>
    <dataValidation type="whole" operator="greaterThanOrEqual" allowBlank="1" showInputMessage="1" showErrorMessage="1" promptTitle="Step 4" prompt="Enter amount for deductions on line 4(b)" sqref="D21" xr:uid="{1DFD12D1-9806-4714-8BEC-672CB6FEAB2F}">
      <formula1>0</formula1>
    </dataValidation>
    <dataValidation type="decimal" operator="greaterThanOrEqual" allowBlank="1" showInputMessage="1" showErrorMessage="1" promptTitle="Step 4" prompt="Enter amount for extra withholding on line 4(c)" sqref="D23" xr:uid="{65732C73-FF29-438D-87E3-9E8B6C0D6EB4}">
      <formula1>0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7B79D04-955D-4D9E-9DD1-6F4F4A189F7E}">
            <xm:f>Calculations!$Q$10=1</xm:f>
            <x14:dxf>
              <font>
                <color auto="1"/>
              </font>
              <fill>
                <patternFill>
                  <bgColor theme="1"/>
                </patternFill>
              </fill>
            </x14:dxf>
          </x14:cfRule>
          <xm:sqref>B11 B12:E25</xm:sqref>
        </x14:conditionalFormatting>
        <x14:conditionalFormatting xmlns:xm="http://schemas.microsoft.com/office/excel/2006/main">
          <x14:cfRule type="expression" priority="1" id="{21C3A2E5-6212-48FC-8751-74C1C97615ED}">
            <xm:f>Calculations!$Q$10=2</xm:f>
            <x14:dxf>
              <fill>
                <patternFill>
                  <bgColor theme="1"/>
                </patternFill>
              </fill>
            </x14:dxf>
          </x14:cfRule>
          <xm:sqref>G11 G12:J18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elect the Form W4 version used" prompt="Before 2020, or 2020 or later_x000a_" xr:uid="{A702BF2F-C10B-4815-9AD7-2B7D8425F50D}">
          <x14:formula1>
            <xm:f>Calculations!$T$11:$T$12</xm:f>
          </x14:formula1>
          <xm:sqref>D8</xm:sqref>
        </x14:dataValidation>
        <x14:dataValidation type="list" allowBlank="1" showInputMessage="1" showErrorMessage="1" promptTitle="Select employee filing status" prompt="Single (or Married Filing Separately), Married Filing Jointly, or Head of Household" xr:uid="{5EF2A25D-06B6-4970-83B6-B23C2F80F9BE}">
          <x14:formula1>
            <xm:f>Calculations!$T$15:$T$17</xm:f>
          </x14:formula1>
          <xm:sqref>D13</xm:sqref>
        </x14:dataValidation>
        <x14:dataValidation type="list" allowBlank="1" showInputMessage="1" showErrorMessage="1" promptTitle="Select employee filing status" prompt="Single, Married, or Married but withhold at higher Single rate." xr:uid="{D07C05CD-57B5-4CA2-87AE-5D7329F097E6}">
          <x14:formula1>
            <xm:f>Calculations!$X$15:$X$17</xm:f>
          </x14:formula1>
          <xm:sqref>I13</xm:sqref>
        </x14:dataValidation>
        <x14:dataValidation type="list" allowBlank="1" showInputMessage="1" showErrorMessage="1" promptTitle="Select the pay frequency" prompt="Weekly, every other week, bimonthly, monthly, or daily" xr:uid="{ECC3A053-F0E5-4830-93F1-8758FD4FA6A2}">
          <x14:formula1>
            <xm:f>Calculations!$T$4:$T$8</xm:f>
          </x14:formula1>
          <xm:sqref>D4</xm:sqref>
        </x14:dataValidation>
        <x14:dataValidation type="list" allowBlank="1" showInputMessage="1" showErrorMessage="1" promptTitle="Step 2" prompt="Did the employee check the box in 2(c)?" xr:uid="{539E8D75-C7B6-43DB-86B1-BC675908C71F}">
          <x14:formula1>
            <xm:f>Calculations!$T20:T21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BF51-710E-4A02-BF99-9DEA25B2C503}">
  <sheetPr codeName="Sheet2">
    <tabColor rgb="FF00B0F0"/>
    <pageSetUpPr fitToPage="1"/>
  </sheetPr>
  <dimension ref="B1:X55"/>
  <sheetViews>
    <sheetView showGridLines="0" workbookViewId="0">
      <selection activeCell="M13" sqref="M13"/>
    </sheetView>
  </sheetViews>
  <sheetFormatPr baseColWidth="10" defaultColWidth="9.1640625" defaultRowHeight="13" x14ac:dyDescent="0.15"/>
  <cols>
    <col min="1" max="1" width="2.1640625" style="15" customWidth="1"/>
    <col min="2" max="2" width="9" style="15" customWidth="1"/>
    <col min="3" max="3" width="11.1640625" style="15" customWidth="1"/>
    <col min="4" max="4" width="13.5" style="15" customWidth="1"/>
    <col min="5" max="5" width="13" style="15" customWidth="1"/>
    <col min="6" max="6" width="13.83203125" style="15" customWidth="1"/>
    <col min="7" max="7" width="4" style="15" customWidth="1"/>
    <col min="8" max="8" width="11.1640625" style="15" customWidth="1"/>
    <col min="9" max="9" width="17.5" style="15" customWidth="1"/>
    <col min="10" max="10" width="6.5" style="15" customWidth="1"/>
    <col min="11" max="14" width="11.6640625" style="15" customWidth="1"/>
    <col min="15" max="15" width="5.5" style="15" customWidth="1"/>
    <col min="16" max="16" width="16.5" style="15" bestFit="1" customWidth="1"/>
    <col min="17" max="17" width="8.1640625" style="15" bestFit="1" customWidth="1"/>
    <col min="18" max="18" width="9.1640625" style="15" bestFit="1" customWidth="1"/>
    <col min="19" max="19" width="6.1640625" style="15" customWidth="1"/>
    <col min="20" max="20" width="5.5" style="15" customWidth="1"/>
    <col min="21" max="21" width="15.33203125" style="15" bestFit="1" customWidth="1"/>
    <col min="22" max="23" width="9.1640625" style="15"/>
    <col min="24" max="24" width="22.83203125" style="15" customWidth="1"/>
    <col min="25" max="16384" width="9.1640625" style="15"/>
  </cols>
  <sheetData>
    <row r="1" spans="2:24" ht="23.25" customHeight="1" x14ac:dyDescent="0.15">
      <c r="B1" s="13" t="s">
        <v>90</v>
      </c>
      <c r="C1" s="14"/>
      <c r="D1" s="14"/>
      <c r="E1" s="14"/>
      <c r="F1" s="14"/>
      <c r="G1" s="14"/>
      <c r="H1" s="14"/>
      <c r="I1" s="14"/>
      <c r="J1" s="14"/>
      <c r="K1" s="14"/>
      <c r="L1" s="14"/>
      <c r="O1" s="107"/>
      <c r="P1" s="107"/>
    </row>
    <row r="2" spans="2:24" ht="17.25" customHeight="1" x14ac:dyDescent="0.2">
      <c r="B2" s="77" t="s">
        <v>18</v>
      </c>
      <c r="C2" s="16" t="s">
        <v>70</v>
      </c>
      <c r="T2" s="15" t="s">
        <v>123</v>
      </c>
      <c r="V2" s="20"/>
    </row>
    <row r="3" spans="2:24" x14ac:dyDescent="0.15">
      <c r="B3" s="26"/>
      <c r="C3" s="26"/>
      <c r="D3" s="26"/>
      <c r="E3" s="26"/>
      <c r="F3" s="26"/>
      <c r="G3" s="26"/>
      <c r="H3" s="26"/>
      <c r="I3"/>
      <c r="K3" s="163" t="s">
        <v>101</v>
      </c>
      <c r="L3" s="164"/>
      <c r="M3" s="71" t="s">
        <v>102</v>
      </c>
      <c r="P3" s="107" t="s">
        <v>80</v>
      </c>
      <c r="Q3" s="15" t="s">
        <v>120</v>
      </c>
      <c r="R3" s="15" t="s">
        <v>121</v>
      </c>
      <c r="S3" s="112"/>
      <c r="T3" s="113"/>
      <c r="U3" s="113"/>
      <c r="V3" s="66"/>
    </row>
    <row r="4" spans="2:24" ht="12.75" customHeight="1" x14ac:dyDescent="0.15">
      <c r="B4" s="28" t="s">
        <v>19</v>
      </c>
      <c r="C4" s="33" t="s">
        <v>72</v>
      </c>
      <c r="D4" s="33"/>
      <c r="E4" s="33"/>
      <c r="F4" s="33"/>
      <c r="G4" s="33"/>
      <c r="H4" s="33"/>
      <c r="I4" s="34"/>
      <c r="J4" s="35" t="str">
        <f t="shared" ref="J4" si="0">B4</f>
        <v>a.</v>
      </c>
      <c r="K4" s="54">
        <f>IF(Q10=2,'Inputs &amp; Result'!D6,0)</f>
        <v>0</v>
      </c>
      <c r="M4" s="54">
        <f>IF(Q10=1,'Inputs &amp; Result'!D6,0)</f>
        <v>0</v>
      </c>
      <c r="P4" s="119" t="s">
        <v>35</v>
      </c>
      <c r="Q4" s="19">
        <v>260</v>
      </c>
      <c r="R4" s="120">
        <f>Allowance/Q4</f>
        <v>16.53846153846154</v>
      </c>
      <c r="S4" s="114"/>
      <c r="T4" s="130" t="s">
        <v>22</v>
      </c>
      <c r="U4" s="126"/>
      <c r="V4" s="111"/>
    </row>
    <row r="5" spans="2:24" ht="12.75" customHeight="1" x14ac:dyDescent="0.15">
      <c r="B5" s="17" t="s">
        <v>20</v>
      </c>
      <c r="C5" s="33" t="s">
        <v>126</v>
      </c>
      <c r="D5" s="33"/>
      <c r="E5" s="33"/>
      <c r="F5" s="33"/>
      <c r="G5" s="33"/>
      <c r="H5" s="33"/>
      <c r="I5" s="34"/>
      <c r="J5" s="35" t="str">
        <f t="shared" ref="J5:J8" si="1">B5</f>
        <v>b.</v>
      </c>
      <c r="K5" s="27">
        <v>0</v>
      </c>
      <c r="M5" s="75"/>
      <c r="P5" s="121" t="s">
        <v>75</v>
      </c>
      <c r="Q5" s="20">
        <v>26</v>
      </c>
      <c r="R5" s="122">
        <f>Allowance/Q5</f>
        <v>165.38461538461539</v>
      </c>
      <c r="S5" s="114"/>
      <c r="T5" s="131" t="s">
        <v>75</v>
      </c>
      <c r="U5" s="23"/>
      <c r="V5" s="111"/>
    </row>
    <row r="6" spans="2:24" ht="12.75" customHeight="1" x14ac:dyDescent="0.15">
      <c r="B6" s="17"/>
      <c r="C6" s="33" t="s">
        <v>111</v>
      </c>
      <c r="D6" s="33"/>
      <c r="E6" s="33"/>
      <c r="F6" s="33"/>
      <c r="G6" s="33"/>
      <c r="H6" s="33"/>
      <c r="I6" s="34"/>
      <c r="J6" s="35"/>
      <c r="K6" s="75"/>
      <c r="M6" s="59">
        <f>'Inputs &amp; Result'!I15</f>
        <v>0</v>
      </c>
      <c r="P6" s="121" t="s">
        <v>21</v>
      </c>
      <c r="Q6" s="20">
        <v>12</v>
      </c>
      <c r="R6" s="122">
        <f>Allowance/Q6</f>
        <v>358.33333333333331</v>
      </c>
      <c r="S6" s="114"/>
      <c r="T6" s="131" t="s">
        <v>76</v>
      </c>
      <c r="U6" s="23"/>
      <c r="V6" s="111"/>
    </row>
    <row r="7" spans="2:24" ht="12.75" customHeight="1" x14ac:dyDescent="0.15">
      <c r="B7" s="28" t="s">
        <v>23</v>
      </c>
      <c r="C7" s="33" t="s">
        <v>94</v>
      </c>
      <c r="D7" s="33"/>
      <c r="E7" s="33"/>
      <c r="F7" s="33"/>
      <c r="G7" s="33"/>
      <c r="H7" s="33"/>
      <c r="I7" s="34"/>
      <c r="J7" s="35" t="str">
        <f t="shared" si="1"/>
        <v>c.</v>
      </c>
      <c r="K7" s="54">
        <f>K5*VLOOKUP(PayFreq,$P$4:$R$8,3, FALSE)</f>
        <v>0</v>
      </c>
      <c r="M7" s="54">
        <f>M6*VLOOKUP(PayFreq,$P$4:$R$8,3, FALSE)</f>
        <v>0</v>
      </c>
      <c r="P7" s="121" t="s">
        <v>76</v>
      </c>
      <c r="Q7" s="20">
        <v>24</v>
      </c>
      <c r="R7" s="122">
        <f>Allowance/Q7</f>
        <v>179.16666666666666</v>
      </c>
      <c r="S7" s="114"/>
      <c r="T7" s="131" t="s">
        <v>21</v>
      </c>
      <c r="U7" s="23"/>
      <c r="V7" s="111"/>
    </row>
    <row r="8" spans="2:24" ht="12.75" customHeight="1" x14ac:dyDescent="0.15">
      <c r="B8" s="28" t="s">
        <v>25</v>
      </c>
      <c r="C8" s="33" t="s">
        <v>71</v>
      </c>
      <c r="D8" s="33"/>
      <c r="E8" s="33"/>
      <c r="F8" s="33"/>
      <c r="G8" s="33"/>
      <c r="H8" s="33"/>
      <c r="I8" s="34"/>
      <c r="J8" s="35" t="str">
        <f t="shared" si="1"/>
        <v>d.</v>
      </c>
      <c r="K8" s="55">
        <f>MAX(K4-K7,0)</f>
        <v>0</v>
      </c>
      <c r="M8" s="55">
        <f>MAX(M4-M7,0)</f>
        <v>0</v>
      </c>
      <c r="P8" s="123" t="s">
        <v>22</v>
      </c>
      <c r="Q8" s="124">
        <v>52</v>
      </c>
      <c r="R8" s="125">
        <f>Allowance/Q8</f>
        <v>82.692307692307693</v>
      </c>
      <c r="S8" s="114"/>
      <c r="T8" s="132" t="s">
        <v>35</v>
      </c>
      <c r="U8" s="127"/>
      <c r="V8" s="111"/>
    </row>
    <row r="9" spans="2:24" ht="12.75" customHeight="1" x14ac:dyDescent="0.15">
      <c r="V9" s="20"/>
    </row>
    <row r="10" spans="2:24" ht="16" x14ac:dyDescent="0.2">
      <c r="B10" s="76" t="s">
        <v>24</v>
      </c>
      <c r="C10" s="16" t="s">
        <v>31</v>
      </c>
      <c r="K10" s="163" t="s">
        <v>101</v>
      </c>
      <c r="L10" s="164"/>
      <c r="M10" s="71" t="s">
        <v>102</v>
      </c>
      <c r="P10" s="107" t="s">
        <v>91</v>
      </c>
      <c r="Q10" s="15">
        <f>VLOOKUP(Version,P11:Q12,2,FALSE)</f>
        <v>2</v>
      </c>
      <c r="S10" s="115"/>
      <c r="T10" s="116"/>
      <c r="U10" s="117"/>
    </row>
    <row r="11" spans="2:24" x14ac:dyDescent="0.15">
      <c r="D11" s="15" t="s">
        <v>36</v>
      </c>
      <c r="K11" s="62" t="s">
        <v>103</v>
      </c>
      <c r="L11" s="24" t="s">
        <v>104</v>
      </c>
      <c r="M11" s="72"/>
      <c r="P11" s="119" t="s">
        <v>93</v>
      </c>
      <c r="Q11" s="126">
        <v>2</v>
      </c>
      <c r="S11" s="118"/>
      <c r="T11" s="133" t="s">
        <v>92</v>
      </c>
      <c r="U11" s="134"/>
    </row>
    <row r="12" spans="2:24" x14ac:dyDescent="0.15">
      <c r="B12" s="21" t="s">
        <v>23</v>
      </c>
      <c r="C12" s="15" t="s">
        <v>100</v>
      </c>
      <c r="J12" s="17" t="str">
        <f>B12</f>
        <v>c.</v>
      </c>
      <c r="K12" s="18">
        <f>VLOOKUP(PayFreq,P4:Q8,2)</f>
        <v>26</v>
      </c>
      <c r="L12" s="18">
        <f>K12</f>
        <v>26</v>
      </c>
      <c r="M12" s="18">
        <f>K12</f>
        <v>26</v>
      </c>
      <c r="P12" s="123" t="s">
        <v>92</v>
      </c>
      <c r="Q12" s="127">
        <v>1</v>
      </c>
      <c r="S12" s="118"/>
      <c r="T12" s="49" t="s">
        <v>93</v>
      </c>
      <c r="U12" s="50"/>
    </row>
    <row r="13" spans="2:24" x14ac:dyDescent="0.15">
      <c r="B13" s="21" t="s">
        <v>25</v>
      </c>
      <c r="C13" s="165" t="s">
        <v>112</v>
      </c>
      <c r="D13" s="165"/>
      <c r="E13" s="165"/>
      <c r="F13" s="165"/>
      <c r="G13" s="165"/>
      <c r="H13" s="165"/>
      <c r="I13" s="165"/>
      <c r="J13" s="35" t="str">
        <f t="shared" ref="J13:J23" si="2">B13</f>
        <v>d.</v>
      </c>
      <c r="K13" s="60">
        <f>K8*K12</f>
        <v>0</v>
      </c>
      <c r="L13" s="23"/>
      <c r="M13" s="60">
        <f>M8*M12</f>
        <v>0</v>
      </c>
    </row>
    <row r="14" spans="2:24" x14ac:dyDescent="0.15">
      <c r="B14" s="21" t="s">
        <v>26</v>
      </c>
      <c r="C14" s="45" t="s">
        <v>48</v>
      </c>
      <c r="D14" s="33"/>
      <c r="E14" s="33"/>
      <c r="F14" s="33"/>
      <c r="G14" s="33"/>
      <c r="H14" s="33"/>
      <c r="I14" s="33"/>
      <c r="J14" s="35" t="str">
        <f>B14</f>
        <v>e.</v>
      </c>
      <c r="K14" s="60">
        <f>IF(Q10=2,'Inputs &amp; Result'!D19,0)</f>
        <v>0</v>
      </c>
      <c r="L14" s="23"/>
      <c r="M14" s="74"/>
      <c r="P14" s="107" t="s">
        <v>78</v>
      </c>
      <c r="Q14" s="15">
        <f>VLOOKUP(FilStat20,P15:Q17,2)</f>
        <v>1</v>
      </c>
      <c r="S14" s="128"/>
      <c r="T14" s="116"/>
      <c r="U14" s="117"/>
      <c r="W14" s="78">
        <f>IF(FilStat19="Married",2,1)</f>
        <v>1</v>
      </c>
      <c r="X14" s="56" t="s">
        <v>124</v>
      </c>
    </row>
    <row r="15" spans="2:24" x14ac:dyDescent="0.15">
      <c r="B15" s="21" t="s">
        <v>27</v>
      </c>
      <c r="C15" s="45" t="s">
        <v>65</v>
      </c>
      <c r="D15" s="33"/>
      <c r="E15" s="33"/>
      <c r="F15" s="33"/>
      <c r="G15" s="33"/>
      <c r="H15" s="33"/>
      <c r="I15" s="33"/>
      <c r="J15" s="35" t="str">
        <f>B15</f>
        <v>f.</v>
      </c>
      <c r="K15" s="54">
        <f>K13+K14</f>
        <v>0</v>
      </c>
      <c r="L15" s="23"/>
      <c r="M15" s="74"/>
      <c r="P15" s="119" t="s">
        <v>5</v>
      </c>
      <c r="Q15" s="126">
        <v>3</v>
      </c>
      <c r="S15" s="118"/>
      <c r="T15" s="133" t="s">
        <v>4</v>
      </c>
      <c r="U15" s="134"/>
      <c r="W15" s="51">
        <v>1</v>
      </c>
      <c r="X15" s="57" t="s">
        <v>4</v>
      </c>
    </row>
    <row r="16" spans="2:24" x14ac:dyDescent="0.15">
      <c r="B16" s="21" t="s">
        <v>28</v>
      </c>
      <c r="C16" s="45" t="s">
        <v>49</v>
      </c>
      <c r="D16" s="33"/>
      <c r="E16" s="33"/>
      <c r="F16" s="33"/>
      <c r="G16" s="33"/>
      <c r="H16" s="33"/>
      <c r="I16" s="33"/>
      <c r="J16" s="35" t="str">
        <f>B16</f>
        <v>g.</v>
      </c>
      <c r="K16" s="60">
        <f>IF(Q10=2,'Inputs &amp; Result'!D21,0)</f>
        <v>0</v>
      </c>
      <c r="L16" s="23"/>
      <c r="M16" s="74"/>
      <c r="P16" s="121" t="s">
        <v>79</v>
      </c>
      <c r="Q16" s="23">
        <v>2</v>
      </c>
      <c r="S16" s="118"/>
      <c r="T16" s="47" t="s">
        <v>79</v>
      </c>
      <c r="U16" s="48"/>
      <c r="W16" s="51">
        <v>2</v>
      </c>
      <c r="X16" s="57" t="s">
        <v>95</v>
      </c>
    </row>
    <row r="17" spans="2:24" x14ac:dyDescent="0.15">
      <c r="B17" s="21" t="s">
        <v>29</v>
      </c>
      <c r="C17" s="45" t="s">
        <v>66</v>
      </c>
      <c r="D17" s="33"/>
      <c r="E17" s="33"/>
      <c r="F17" s="33"/>
      <c r="G17" s="33"/>
      <c r="H17" s="33"/>
      <c r="I17" s="33"/>
      <c r="J17" s="35" t="str">
        <f>B17</f>
        <v>h.</v>
      </c>
      <c r="K17" s="54">
        <f>MAX(K15-K16,0)</f>
        <v>0</v>
      </c>
      <c r="L17" s="54">
        <f>K17</f>
        <v>0</v>
      </c>
      <c r="M17" s="54">
        <f>M13</f>
        <v>0</v>
      </c>
      <c r="P17" s="123" t="s">
        <v>4</v>
      </c>
      <c r="Q17" s="127">
        <v>1</v>
      </c>
      <c r="S17" s="118"/>
      <c r="T17" s="49" t="s">
        <v>5</v>
      </c>
      <c r="U17" s="50"/>
      <c r="W17" s="52">
        <v>3</v>
      </c>
      <c r="X17" s="58" t="s">
        <v>96</v>
      </c>
    </row>
    <row r="18" spans="2:24" x14ac:dyDescent="0.15">
      <c r="B18" s="21" t="s">
        <v>37</v>
      </c>
      <c r="C18" s="162" t="s">
        <v>108</v>
      </c>
      <c r="D18" s="162"/>
      <c r="E18" s="162"/>
      <c r="F18" s="162"/>
      <c r="G18" s="162"/>
      <c r="H18" s="162"/>
      <c r="I18" s="162"/>
      <c r="J18" s="35" t="str">
        <f t="shared" si="2"/>
        <v>i.</v>
      </c>
      <c r="K18" s="63">
        <f>IF($Q$14=1,VLOOKUP(K$17,WRSS2020,1),IF($Q$14=2,VLOOKUP(K$17,WRSMJ2020,1),VLOOKUP(K$17,WRSHH2020,1)))</f>
        <v>-999999</v>
      </c>
      <c r="L18" s="63">
        <f>IF($Q$14=1,VLOOKUP(L$17,HWRSS,1),IF($Q$14=2,VLOOKUP(L$17,HWRSMJ,1),VLOOKUP(L$17,HWRSHH,1)))</f>
        <v>-999999</v>
      </c>
      <c r="M18" s="63">
        <f>IF($W$14=2,VLOOKUP(M$17,WRSMJ,1),VLOOKUP(M$17,WRSS,1))</f>
        <v>-999999</v>
      </c>
    </row>
    <row r="19" spans="2:24" x14ac:dyDescent="0.15">
      <c r="B19" s="21" t="s">
        <v>60</v>
      </c>
      <c r="C19" s="36" t="s">
        <v>106</v>
      </c>
      <c r="D19" s="36"/>
      <c r="E19" s="36"/>
      <c r="F19" s="36"/>
      <c r="G19" s="36"/>
      <c r="H19" s="36"/>
      <c r="I19" s="36"/>
      <c r="J19" s="35" t="str">
        <f t="shared" si="2"/>
        <v>j.</v>
      </c>
      <c r="K19" s="63">
        <f>IF($Q$14=1,VLOOKUP(K$17,WRSS2020,2),IF($Q$14=2,VLOOKUP(K$17,WRSMJ2020,2),VLOOKUP(K$17,WRSHH2020,2)))</f>
        <v>0</v>
      </c>
      <c r="L19" s="63">
        <f>IF($Q$14=1,VLOOKUP(L$17,HWRSS,2),IF($Q$14=2,VLOOKUP(L$17,HWRSMJ,2),VLOOKUP(L$17,HWRSHH,2)))</f>
        <v>0</v>
      </c>
      <c r="M19" s="63">
        <f>IF($W$14=2,VLOOKUP(M$17,WRSMJ,2),VLOOKUP(M$17,WRSS,2))</f>
        <v>0</v>
      </c>
      <c r="O19" s="61"/>
      <c r="P19" s="107" t="s">
        <v>81</v>
      </c>
      <c r="Q19" s="15">
        <f>VLOOKUP(Box2c,P20:Q21,2)</f>
        <v>1</v>
      </c>
      <c r="R19" s="61"/>
      <c r="S19" s="115"/>
      <c r="T19" s="116"/>
      <c r="U19" s="117"/>
    </row>
    <row r="20" spans="2:24" ht="12.75" customHeight="1" x14ac:dyDescent="0.15">
      <c r="B20" s="21" t="s">
        <v>61</v>
      </c>
      <c r="C20" s="36" t="s">
        <v>107</v>
      </c>
      <c r="D20" s="36"/>
      <c r="E20" s="36"/>
      <c r="F20" s="36"/>
      <c r="G20" s="36"/>
      <c r="H20" s="36"/>
      <c r="I20" s="36"/>
      <c r="J20" s="35" t="str">
        <f t="shared" si="2"/>
        <v>k.</v>
      </c>
      <c r="K20" s="67">
        <f>IF($Q$14=1,VLOOKUP(K$17,WRSS2020,3),IF($Q$14=2,VLOOKUP(K$17,WRSMJ2020,3),VLOOKUP(K$17,WRSHH2020,3)))</f>
        <v>0</v>
      </c>
      <c r="L20" s="67">
        <f>IF($Q$14=1,VLOOKUP(L$17,HWRSS,3),IF($Q$14=2,VLOOKUP(L$17,HWRSMJ,3),VLOOKUP(L$17,HWRSHH,3)))</f>
        <v>0</v>
      </c>
      <c r="M20" s="67">
        <f>IF($W$14=2,VLOOKUP(M$17,WRSMJ,3),VLOOKUP(M$17,WRSS,3))</f>
        <v>0</v>
      </c>
      <c r="P20" s="119" t="s">
        <v>82</v>
      </c>
      <c r="Q20" s="126">
        <v>1</v>
      </c>
      <c r="S20" s="118"/>
      <c r="T20" s="133" t="s">
        <v>82</v>
      </c>
      <c r="U20" s="134"/>
    </row>
    <row r="21" spans="2:24" x14ac:dyDescent="0.15">
      <c r="B21" s="21" t="s">
        <v>62</v>
      </c>
      <c r="C21" s="36" t="s">
        <v>67</v>
      </c>
      <c r="D21" s="36"/>
      <c r="E21" s="36"/>
      <c r="F21" s="36"/>
      <c r="G21" s="36"/>
      <c r="H21" s="36"/>
      <c r="I21" s="36"/>
      <c r="J21" s="35" t="str">
        <f t="shared" si="2"/>
        <v>l.</v>
      </c>
      <c r="K21" s="60">
        <f>K17-K18</f>
        <v>999999</v>
      </c>
      <c r="L21" s="60">
        <f t="shared" ref="L21:M21" si="3">L17-L18</f>
        <v>999999</v>
      </c>
      <c r="M21" s="60">
        <f t="shared" si="3"/>
        <v>999999</v>
      </c>
      <c r="P21" s="123" t="s">
        <v>83</v>
      </c>
      <c r="Q21" s="127">
        <v>2</v>
      </c>
      <c r="S21" s="118"/>
      <c r="T21" s="49" t="s">
        <v>83</v>
      </c>
      <c r="U21" s="50"/>
    </row>
    <row r="22" spans="2:24" ht="12.75" customHeight="1" thickBot="1" x14ac:dyDescent="0.2">
      <c r="B22" s="21" t="s">
        <v>63</v>
      </c>
      <c r="C22" s="36" t="s">
        <v>68</v>
      </c>
      <c r="D22" s="36"/>
      <c r="E22" s="36"/>
      <c r="F22" s="36"/>
      <c r="G22" s="36"/>
      <c r="H22" s="36"/>
      <c r="I22" s="36"/>
      <c r="J22" s="35" t="str">
        <f t="shared" si="2"/>
        <v>m.</v>
      </c>
      <c r="K22" s="60">
        <f>K21*K20</f>
        <v>0</v>
      </c>
      <c r="L22" s="60">
        <f t="shared" ref="L22:M22" si="4">L21*L20</f>
        <v>0</v>
      </c>
      <c r="M22" s="60">
        <f t="shared" si="4"/>
        <v>0</v>
      </c>
    </row>
    <row r="23" spans="2:24" ht="12.75" customHeight="1" thickBot="1" x14ac:dyDescent="0.2">
      <c r="B23" s="21" t="s">
        <v>64</v>
      </c>
      <c r="C23" s="162" t="s">
        <v>109</v>
      </c>
      <c r="D23" s="162"/>
      <c r="E23" s="162"/>
      <c r="F23" s="162"/>
      <c r="G23" s="162"/>
      <c r="H23" s="162"/>
      <c r="I23" s="162"/>
      <c r="J23" s="35" t="str">
        <f t="shared" si="2"/>
        <v>n.</v>
      </c>
      <c r="K23" s="68">
        <f>IF(Q19=1,IF(Q10=2,K19+K22,0),0)</f>
        <v>0</v>
      </c>
      <c r="L23" s="68">
        <f>IF(Q19=2,IF(Q10=2,L19+L22,0),0)</f>
        <v>0</v>
      </c>
      <c r="M23" s="68">
        <f>IF(Q10=1,M19+M22,0)</f>
        <v>0</v>
      </c>
      <c r="P23" s="107" t="s">
        <v>122</v>
      </c>
      <c r="Q23" s="15">
        <v>1</v>
      </c>
      <c r="S23" s="115"/>
      <c r="T23" s="116"/>
      <c r="U23" s="117"/>
      <c r="W23" s="78">
        <v>1</v>
      </c>
      <c r="X23" s="56" t="s">
        <v>125</v>
      </c>
    </row>
    <row r="24" spans="2:24" ht="12.75" customHeight="1" x14ac:dyDescent="0.15">
      <c r="B24" s="21"/>
      <c r="C24" s="22"/>
      <c r="D24" s="22"/>
      <c r="E24" s="22"/>
      <c r="F24" s="22"/>
      <c r="G24" s="22"/>
      <c r="H24" s="22"/>
      <c r="I24" s="22"/>
      <c r="J24" s="22"/>
      <c r="K24" s="19"/>
      <c r="P24" s="119" t="s">
        <v>82</v>
      </c>
      <c r="Q24" s="126">
        <v>1</v>
      </c>
      <c r="S24" s="118"/>
      <c r="T24" s="133" t="s">
        <v>82</v>
      </c>
      <c r="U24" s="134"/>
      <c r="W24" s="51">
        <v>1</v>
      </c>
      <c r="X24" s="57" t="s">
        <v>82</v>
      </c>
    </row>
    <row r="25" spans="2:24" ht="12.75" customHeight="1" x14ac:dyDescent="0.2">
      <c r="B25" s="76" t="s">
        <v>30</v>
      </c>
      <c r="C25" s="16" t="s">
        <v>33</v>
      </c>
      <c r="P25" s="123" t="s">
        <v>83</v>
      </c>
      <c r="Q25" s="127">
        <v>2</v>
      </c>
      <c r="S25" s="118"/>
      <c r="T25" s="49" t="s">
        <v>83</v>
      </c>
      <c r="U25" s="50"/>
      <c r="W25" s="52">
        <v>2</v>
      </c>
      <c r="X25" s="58" t="s">
        <v>83</v>
      </c>
    </row>
    <row r="26" spans="2:24" ht="12.75" customHeight="1" x14ac:dyDescent="0.15"/>
    <row r="27" spans="2:24" ht="12.75" customHeight="1" x14ac:dyDescent="0.15">
      <c r="B27" s="21" t="s">
        <v>19</v>
      </c>
      <c r="C27" s="162" t="s">
        <v>57</v>
      </c>
      <c r="D27" s="162"/>
      <c r="E27" s="162"/>
      <c r="F27" s="162"/>
      <c r="G27" s="162"/>
      <c r="H27" s="162"/>
      <c r="I27" s="162"/>
      <c r="J27" s="35" t="str">
        <f t="shared" ref="J27:J28" si="5">B27</f>
        <v>a.</v>
      </c>
      <c r="K27" s="69">
        <f>IF($Q$19=1,IF(Q10=2,'Inputs &amp; Result'!$D17,0),0)</f>
        <v>0</v>
      </c>
      <c r="L27" s="69">
        <f>IF($Q$19=2,IF($Q$10=2,'Inputs &amp; Result'!$D17,0),0)</f>
        <v>0</v>
      </c>
      <c r="M27" s="69">
        <v>0</v>
      </c>
    </row>
    <row r="28" spans="2:24" ht="12.75" customHeight="1" x14ac:dyDescent="0.15">
      <c r="B28" s="21" t="s">
        <v>20</v>
      </c>
      <c r="C28" s="162" t="s">
        <v>105</v>
      </c>
      <c r="D28" s="162"/>
      <c r="E28" s="162"/>
      <c r="F28" s="162"/>
      <c r="G28" s="162"/>
      <c r="H28" s="162"/>
      <c r="I28" s="162"/>
      <c r="J28" s="35" t="str">
        <f t="shared" si="5"/>
        <v>b.</v>
      </c>
      <c r="K28" s="60">
        <f>MAX(K23-K27,0)</f>
        <v>0</v>
      </c>
      <c r="L28" s="60">
        <f>MAX(L23-L27,0)</f>
        <v>0</v>
      </c>
      <c r="M28" s="60">
        <f t="shared" ref="M28" si="6">MAX(M23-M27,0)</f>
        <v>0</v>
      </c>
      <c r="O28" s="64"/>
      <c r="P28" s="64"/>
      <c r="Q28" s="64"/>
      <c r="R28" s="64"/>
    </row>
    <row r="29" spans="2:24" ht="12.75" customHeight="1" x14ac:dyDescent="0.15">
      <c r="B29" s="21" t="s">
        <v>23</v>
      </c>
      <c r="C29" s="162" t="s">
        <v>69</v>
      </c>
      <c r="D29" s="162"/>
      <c r="E29" s="162"/>
      <c r="F29" s="162"/>
      <c r="G29" s="162"/>
      <c r="H29" s="162"/>
      <c r="I29" s="162"/>
      <c r="J29" s="35" t="str">
        <f t="shared" ref="J29" si="7">B29</f>
        <v>c.</v>
      </c>
      <c r="K29" s="60">
        <f>K28/K12</f>
        <v>0</v>
      </c>
      <c r="L29" s="60">
        <f>L28/L12</f>
        <v>0</v>
      </c>
      <c r="M29" s="60">
        <f>M28/M12</f>
        <v>0</v>
      </c>
      <c r="O29" s="65"/>
      <c r="P29" s="65"/>
      <c r="Q29" s="65"/>
      <c r="R29" s="65"/>
    </row>
    <row r="30" spans="2:24" ht="12.75" customHeight="1" x14ac:dyDescent="0.15">
      <c r="O30" s="20"/>
      <c r="P30" s="20"/>
      <c r="Q30" s="20"/>
      <c r="R30" s="20"/>
    </row>
    <row r="31" spans="2:24" ht="12.75" customHeight="1" x14ac:dyDescent="0.2">
      <c r="B31" s="76" t="s">
        <v>32</v>
      </c>
      <c r="C31" s="16" t="s">
        <v>34</v>
      </c>
      <c r="O31" s="66"/>
      <c r="P31" s="66"/>
      <c r="Q31" s="66"/>
      <c r="R31" s="66"/>
    </row>
    <row r="32" spans="2:24" ht="12.75" customHeight="1" x14ac:dyDescent="0.15">
      <c r="O32" s="20"/>
      <c r="P32" s="20"/>
      <c r="Q32" s="20"/>
      <c r="R32" s="20"/>
    </row>
    <row r="33" spans="2:18" ht="12.75" customHeight="1" thickBot="1" x14ac:dyDescent="0.2">
      <c r="B33" s="21" t="s">
        <v>19</v>
      </c>
      <c r="C33" s="162" t="s">
        <v>58</v>
      </c>
      <c r="D33" s="162"/>
      <c r="E33" s="162"/>
      <c r="F33" s="162"/>
      <c r="G33" s="162"/>
      <c r="H33" s="162"/>
      <c r="I33" s="162"/>
      <c r="J33" s="35" t="str">
        <f t="shared" ref="J33:J34" si="8">B33</f>
        <v>a.</v>
      </c>
      <c r="K33" s="60">
        <f>IF(AND(Q19=1,Q10=2),'Inputs &amp; Result'!D23,0)</f>
        <v>0</v>
      </c>
      <c r="L33" s="60">
        <f>IF(AND(Q19=2,Q10=2),'Inputs &amp; Result'!D23,0)</f>
        <v>0</v>
      </c>
      <c r="M33" s="60">
        <f>IF(Q10=1,'Inputs &amp; Result'!I17,0)</f>
        <v>0</v>
      </c>
      <c r="O33" s="20"/>
      <c r="P33" s="20"/>
      <c r="Q33" s="20"/>
      <c r="R33" s="20"/>
    </row>
    <row r="34" spans="2:18" ht="25.5" customHeight="1" thickBot="1" x14ac:dyDescent="0.2">
      <c r="B34" s="21" t="s">
        <v>20</v>
      </c>
      <c r="C34" s="162" t="s">
        <v>47</v>
      </c>
      <c r="D34" s="162"/>
      <c r="E34" s="162"/>
      <c r="F34" s="162"/>
      <c r="G34" s="162"/>
      <c r="H34" s="162"/>
      <c r="I34" s="162"/>
      <c r="J34" s="35" t="str">
        <f t="shared" si="8"/>
        <v>b.</v>
      </c>
      <c r="K34" s="73">
        <f>K29+K33</f>
        <v>0</v>
      </c>
      <c r="L34" s="73">
        <f t="shared" ref="L34:M34" si="9">L29+L33</f>
        <v>0</v>
      </c>
      <c r="M34" s="73">
        <f t="shared" si="9"/>
        <v>0</v>
      </c>
      <c r="O34" s="66"/>
      <c r="P34" s="66"/>
      <c r="Q34" s="66"/>
      <c r="R34" s="66"/>
    </row>
    <row r="35" spans="2:18" ht="12.75" customHeight="1" x14ac:dyDescent="0.15">
      <c r="K35" s="70"/>
    </row>
    <row r="38" spans="2:18" ht="12.75" customHeight="1" x14ac:dyDescent="0.15"/>
    <row r="42" spans="2:18" ht="29.25" customHeight="1" x14ac:dyDescent="0.15"/>
    <row r="45" spans="2:18" ht="28.5" customHeight="1" x14ac:dyDescent="0.15"/>
    <row r="48" spans="2:18" ht="26.25" customHeight="1" x14ac:dyDescent="0.15"/>
    <row r="49" ht="25.5" customHeight="1" x14ac:dyDescent="0.15"/>
    <row r="50" ht="12.75" customHeight="1" x14ac:dyDescent="0.15"/>
    <row r="54" ht="26.25" customHeight="1" x14ac:dyDescent="0.15"/>
    <row r="55" ht="27.75" customHeight="1" x14ac:dyDescent="0.15"/>
  </sheetData>
  <sheetProtection algorithmName="SHA-512" hashValue="zfQYlv40R3YrcspFijpQ3deuAYJn5LY9FL5uqeQOVEGV0SwgXRLZrHvwJbG6m+LHPm95OtQb+1ZE/KF+H+igsg==" saltValue="JenapsV4mErqsjHj64twUA==" spinCount="100000" sheet="1" objects="1" scenarios="1" selectLockedCells="1" selectUnlockedCells="1"/>
  <sortState xmlns:xlrd2="http://schemas.microsoft.com/office/spreadsheetml/2017/richdata2" ref="P15:P17">
    <sortCondition ref="P15"/>
  </sortState>
  <mergeCells count="10">
    <mergeCell ref="K3:L3"/>
    <mergeCell ref="C23:I23"/>
    <mergeCell ref="C29:I29"/>
    <mergeCell ref="C18:I18"/>
    <mergeCell ref="C13:I13"/>
    <mergeCell ref="C34:I34"/>
    <mergeCell ref="C27:I27"/>
    <mergeCell ref="C28:I28"/>
    <mergeCell ref="C33:I33"/>
    <mergeCell ref="K10:L10"/>
  </mergeCells>
  <printOptions horizontalCentered="1"/>
  <pageMargins left="0.25" right="0.25" top="0.25" bottom="0.25" header="0" footer="0"/>
  <pageSetup paperSize="5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B29A-562B-4DC3-B01A-3FCF49C332A7}">
  <sheetPr codeName="Sheet3">
    <tabColor rgb="FF92D050"/>
  </sheetPr>
  <dimension ref="B1:T59"/>
  <sheetViews>
    <sheetView workbookViewId="0">
      <selection activeCell="T35" sqref="T35"/>
    </sheetView>
  </sheetViews>
  <sheetFormatPr baseColWidth="10" defaultColWidth="9.1640625" defaultRowHeight="13" x14ac:dyDescent="0.15"/>
  <cols>
    <col min="1" max="1" width="2.33203125" style="1" customWidth="1"/>
    <col min="2" max="2" width="20.33203125" style="1" customWidth="1"/>
    <col min="3" max="3" width="7.33203125" style="1" customWidth="1"/>
    <col min="4" max="4" width="9" style="1" customWidth="1"/>
    <col min="5" max="5" width="4.83203125" style="1" customWidth="1"/>
    <col min="6" max="6" width="12.1640625" style="1" customWidth="1"/>
    <col min="7" max="7" width="13.1640625" style="1" customWidth="1"/>
    <col min="8" max="8" width="10.5" style="1" customWidth="1"/>
    <col min="9" max="9" width="4.6640625" style="1" customWidth="1"/>
    <col min="10" max="10" width="10.5" style="1" customWidth="1"/>
    <col min="11" max="11" width="12.33203125" style="1" customWidth="1"/>
    <col min="12" max="12" width="10.5" style="1" customWidth="1"/>
    <col min="13" max="13" width="4.6640625" style="1" customWidth="1"/>
    <col min="14" max="14" width="11.5" style="1" customWidth="1"/>
    <col min="15" max="15" width="14.1640625" style="1" customWidth="1"/>
    <col min="16" max="16" width="10.5" style="1" customWidth="1"/>
    <col min="17" max="17" width="4.6640625" style="1" customWidth="1"/>
    <col min="18" max="18" width="10.5" style="38" customWidth="1"/>
    <col min="19" max="19" width="14.1640625" style="38" customWidth="1"/>
    <col min="20" max="20" width="10.5" style="38" customWidth="1"/>
    <col min="21" max="16384" width="9.1640625" style="1"/>
  </cols>
  <sheetData>
    <row r="1" spans="2:20" ht="15.75" customHeight="1" thickBot="1" x14ac:dyDescent="0.2">
      <c r="B1" s="12" t="s">
        <v>73</v>
      </c>
      <c r="C1" s="12"/>
      <c r="D1" s="46">
        <v>2022</v>
      </c>
      <c r="J1" s="3" t="s">
        <v>118</v>
      </c>
      <c r="K1" s="3"/>
      <c r="L1" s="3"/>
      <c r="N1" s="79" t="s">
        <v>114</v>
      </c>
      <c r="O1" s="79"/>
      <c r="P1" s="79"/>
      <c r="R1" s="37" t="s">
        <v>113</v>
      </c>
      <c r="S1" s="37"/>
      <c r="T1" s="37"/>
    </row>
    <row r="2" spans="2:20" x14ac:dyDescent="0.15">
      <c r="J2" s="3" t="s">
        <v>1</v>
      </c>
      <c r="K2" s="3"/>
      <c r="L2" s="3"/>
      <c r="N2" s="79" t="s">
        <v>1</v>
      </c>
      <c r="O2" s="79"/>
      <c r="P2" s="79"/>
      <c r="R2" s="37" t="s">
        <v>1</v>
      </c>
      <c r="S2" s="37"/>
      <c r="T2" s="37"/>
    </row>
    <row r="3" spans="2:20" x14ac:dyDescent="0.15">
      <c r="F3" s="2" t="s">
        <v>0</v>
      </c>
      <c r="G3" s="2"/>
      <c r="H3" s="2"/>
      <c r="J3" s="3" t="s">
        <v>7</v>
      </c>
      <c r="K3" s="3"/>
      <c r="L3" s="3"/>
      <c r="N3" s="79" t="s">
        <v>7</v>
      </c>
      <c r="O3" s="79"/>
      <c r="P3" s="79"/>
      <c r="R3" s="37" t="s">
        <v>50</v>
      </c>
      <c r="S3" s="37"/>
      <c r="T3" s="37"/>
    </row>
    <row r="4" spans="2:20" x14ac:dyDescent="0.15">
      <c r="B4" s="44" t="s">
        <v>59</v>
      </c>
      <c r="C4" s="4">
        <v>4300</v>
      </c>
      <c r="N4" s="38"/>
      <c r="O4" s="38"/>
      <c r="P4" s="38"/>
    </row>
    <row r="5" spans="2:20" ht="38.25" customHeight="1" x14ac:dyDescent="0.15">
      <c r="B5" s="9" t="s">
        <v>2</v>
      </c>
      <c r="C5" s="9"/>
      <c r="F5" s="11" t="s">
        <v>8</v>
      </c>
      <c r="G5" s="11" t="s">
        <v>9</v>
      </c>
      <c r="H5" s="11" t="s">
        <v>10</v>
      </c>
      <c r="I5" s="11"/>
      <c r="J5" s="11" t="s">
        <v>12</v>
      </c>
      <c r="K5" s="11" t="s">
        <v>11</v>
      </c>
      <c r="L5" s="11" t="s">
        <v>10</v>
      </c>
      <c r="M5" s="11"/>
      <c r="N5" s="39" t="s">
        <v>12</v>
      </c>
      <c r="O5" s="39" t="s">
        <v>11</v>
      </c>
      <c r="P5" s="39" t="s">
        <v>10</v>
      </c>
      <c r="Q5" s="11"/>
      <c r="R5" s="39" t="s">
        <v>12</v>
      </c>
      <c r="S5" s="39" t="s">
        <v>11</v>
      </c>
      <c r="T5" s="39" t="s">
        <v>10</v>
      </c>
    </row>
    <row r="6" spans="2:20" ht="12.75" customHeight="1" x14ac:dyDescent="0.15">
      <c r="B6" s="10" t="s">
        <v>3</v>
      </c>
      <c r="C6" s="29" t="s">
        <v>44</v>
      </c>
      <c r="D6" s="138">
        <v>25900</v>
      </c>
      <c r="F6" s="31" t="s">
        <v>41</v>
      </c>
      <c r="J6" s="30" t="s">
        <v>38</v>
      </c>
      <c r="N6" s="40" t="s">
        <v>115</v>
      </c>
      <c r="O6" s="38"/>
      <c r="P6" s="38"/>
      <c r="R6" s="40" t="s">
        <v>51</v>
      </c>
      <c r="S6" s="39"/>
    </row>
    <row r="7" spans="2:20" x14ac:dyDescent="0.15">
      <c r="B7" s="10" t="s">
        <v>4</v>
      </c>
      <c r="C7" s="32" t="s">
        <v>45</v>
      </c>
      <c r="D7" s="138">
        <v>12950</v>
      </c>
      <c r="F7" s="5" t="s">
        <v>15</v>
      </c>
      <c r="G7" s="5"/>
      <c r="H7" s="5"/>
      <c r="J7" s="6" t="s">
        <v>13</v>
      </c>
      <c r="K7" s="6"/>
      <c r="L7" s="6"/>
      <c r="N7" s="41" t="s">
        <v>13</v>
      </c>
      <c r="O7" s="41"/>
      <c r="P7" s="41"/>
      <c r="R7" s="41" t="s">
        <v>52</v>
      </c>
      <c r="S7" s="41"/>
      <c r="T7" s="41"/>
    </row>
    <row r="8" spans="2:20" x14ac:dyDescent="0.15">
      <c r="B8" s="10" t="s">
        <v>5</v>
      </c>
      <c r="C8" s="10" t="s">
        <v>46</v>
      </c>
      <c r="D8" s="138">
        <v>19400</v>
      </c>
      <c r="F8" s="11"/>
      <c r="G8" s="11"/>
      <c r="H8" s="11"/>
      <c r="I8" s="11"/>
      <c r="J8" s="11"/>
      <c r="K8" s="11"/>
      <c r="L8" s="11"/>
      <c r="M8" s="11"/>
      <c r="N8" s="39"/>
      <c r="O8" s="39"/>
      <c r="P8" s="39"/>
      <c r="Q8" s="11"/>
      <c r="R8" s="39"/>
      <c r="S8" s="39"/>
      <c r="T8" s="39"/>
    </row>
    <row r="9" spans="2:20" ht="12.75" customHeight="1" x14ac:dyDescent="0.15">
      <c r="G9" s="11"/>
      <c r="H9" s="11"/>
      <c r="I9" s="11"/>
      <c r="J9" s="25">
        <v>-999999</v>
      </c>
      <c r="K9" s="8">
        <v>0</v>
      </c>
      <c r="L9" s="7">
        <v>0</v>
      </c>
      <c r="M9" s="11"/>
      <c r="N9" s="25">
        <v>-999999</v>
      </c>
      <c r="O9" s="42">
        <v>0</v>
      </c>
      <c r="P9" s="43">
        <v>0</v>
      </c>
      <c r="Q9" s="11"/>
      <c r="R9" s="25">
        <v>-999999</v>
      </c>
      <c r="S9" s="42">
        <v>0</v>
      </c>
      <c r="T9" s="43">
        <v>0</v>
      </c>
    </row>
    <row r="10" spans="2:20" ht="12.75" customHeight="1" x14ac:dyDescent="0.15">
      <c r="F10" s="139">
        <v>0</v>
      </c>
      <c r="G10" s="142">
        <v>0</v>
      </c>
      <c r="H10" s="141">
        <v>0.1</v>
      </c>
      <c r="I10" s="38"/>
      <c r="J10" s="25">
        <f t="shared" ref="J10:J16" si="0">F10+SDMJ-3*Allowance</f>
        <v>13000</v>
      </c>
      <c r="K10" s="42">
        <v>0</v>
      </c>
      <c r="L10" s="43">
        <f>H10</f>
        <v>0.1</v>
      </c>
      <c r="M10" s="38"/>
      <c r="N10" s="25">
        <f t="shared" ref="N10:N16" si="1">F10+SDMJ</f>
        <v>25900</v>
      </c>
      <c r="O10" s="42">
        <v>0</v>
      </c>
      <c r="P10" s="43">
        <f t="shared" ref="P10:P16" si="2">L10</f>
        <v>0.1</v>
      </c>
      <c r="Q10" s="38"/>
      <c r="R10" s="25">
        <f t="shared" ref="R10:R16" si="3">(F10+SDMJ)/2</f>
        <v>12950</v>
      </c>
      <c r="S10" s="42">
        <f t="shared" ref="S10:S16" si="4">S9+T9*(R10-R9)</f>
        <v>0</v>
      </c>
      <c r="T10" s="43">
        <f t="shared" ref="T10:T16" si="5">P10</f>
        <v>0.1</v>
      </c>
    </row>
    <row r="11" spans="2:20" ht="12.75" customHeight="1" x14ac:dyDescent="0.15">
      <c r="F11" s="139">
        <v>20550</v>
      </c>
      <c r="G11" s="142">
        <v>2055</v>
      </c>
      <c r="H11" s="141">
        <v>0.12</v>
      </c>
      <c r="I11" s="38"/>
      <c r="J11" s="25">
        <f t="shared" si="0"/>
        <v>33550</v>
      </c>
      <c r="K11" s="42">
        <f t="shared" ref="K11:K16" si="6">K10+L10*(J11-J10)</f>
        <v>2055</v>
      </c>
      <c r="L11" s="43">
        <f t="shared" ref="L11:L16" si="7">H11</f>
        <v>0.12</v>
      </c>
      <c r="M11" s="38"/>
      <c r="N11" s="25">
        <f t="shared" si="1"/>
        <v>46450</v>
      </c>
      <c r="O11" s="42">
        <f t="shared" ref="O11:O16" si="8">O10+P10*(N11-N10)</f>
        <v>2055</v>
      </c>
      <c r="P11" s="43">
        <f t="shared" si="2"/>
        <v>0.12</v>
      </c>
      <c r="Q11" s="38"/>
      <c r="R11" s="25">
        <f t="shared" si="3"/>
        <v>23225</v>
      </c>
      <c r="S11" s="42">
        <f t="shared" si="4"/>
        <v>1027.5</v>
      </c>
      <c r="T11" s="43">
        <f t="shared" si="5"/>
        <v>0.12</v>
      </c>
    </row>
    <row r="12" spans="2:20" x14ac:dyDescent="0.15">
      <c r="F12" s="139">
        <v>83550</v>
      </c>
      <c r="G12" s="142">
        <v>9615</v>
      </c>
      <c r="H12" s="141">
        <v>0.22</v>
      </c>
      <c r="I12" s="38"/>
      <c r="J12" s="25">
        <f t="shared" si="0"/>
        <v>96550</v>
      </c>
      <c r="K12" s="42">
        <f t="shared" si="6"/>
        <v>9615</v>
      </c>
      <c r="L12" s="43">
        <f t="shared" si="7"/>
        <v>0.22</v>
      </c>
      <c r="M12" s="38"/>
      <c r="N12" s="25">
        <f t="shared" si="1"/>
        <v>109450</v>
      </c>
      <c r="O12" s="42">
        <f t="shared" si="8"/>
        <v>9615</v>
      </c>
      <c r="P12" s="43">
        <f t="shared" si="2"/>
        <v>0.22</v>
      </c>
      <c r="Q12" s="38"/>
      <c r="R12" s="25">
        <f t="shared" si="3"/>
        <v>54725</v>
      </c>
      <c r="S12" s="42">
        <f t="shared" si="4"/>
        <v>4807.5</v>
      </c>
      <c r="T12" s="43">
        <f t="shared" si="5"/>
        <v>0.22</v>
      </c>
    </row>
    <row r="13" spans="2:20" x14ac:dyDescent="0.15">
      <c r="F13" s="139">
        <v>178150</v>
      </c>
      <c r="G13" s="142">
        <v>30427</v>
      </c>
      <c r="H13" s="141">
        <v>0.24</v>
      </c>
      <c r="I13" s="38"/>
      <c r="J13" s="25">
        <f t="shared" si="0"/>
        <v>191150</v>
      </c>
      <c r="K13" s="42">
        <f t="shared" si="6"/>
        <v>30427</v>
      </c>
      <c r="L13" s="43">
        <f t="shared" si="7"/>
        <v>0.24</v>
      </c>
      <c r="M13" s="38"/>
      <c r="N13" s="25">
        <f t="shared" si="1"/>
        <v>204050</v>
      </c>
      <c r="O13" s="42">
        <f t="shared" si="8"/>
        <v>30427</v>
      </c>
      <c r="P13" s="43">
        <f t="shared" si="2"/>
        <v>0.24</v>
      </c>
      <c r="Q13" s="38"/>
      <c r="R13" s="25">
        <f t="shared" si="3"/>
        <v>102025</v>
      </c>
      <c r="S13" s="42">
        <f t="shared" si="4"/>
        <v>15213.5</v>
      </c>
      <c r="T13" s="43">
        <f t="shared" si="5"/>
        <v>0.24</v>
      </c>
    </row>
    <row r="14" spans="2:20" x14ac:dyDescent="0.15">
      <c r="F14" s="139">
        <v>340100</v>
      </c>
      <c r="G14" s="142">
        <v>69295</v>
      </c>
      <c r="H14" s="141">
        <v>0.32</v>
      </c>
      <c r="I14" s="38"/>
      <c r="J14" s="25">
        <f t="shared" si="0"/>
        <v>353100</v>
      </c>
      <c r="K14" s="42">
        <f t="shared" si="6"/>
        <v>69295</v>
      </c>
      <c r="L14" s="43">
        <f t="shared" si="7"/>
        <v>0.32</v>
      </c>
      <c r="M14" s="38"/>
      <c r="N14" s="25">
        <f t="shared" si="1"/>
        <v>366000</v>
      </c>
      <c r="O14" s="42">
        <f t="shared" si="8"/>
        <v>69295</v>
      </c>
      <c r="P14" s="43">
        <f t="shared" si="2"/>
        <v>0.32</v>
      </c>
      <c r="Q14" s="38"/>
      <c r="R14" s="25">
        <f t="shared" si="3"/>
        <v>183000</v>
      </c>
      <c r="S14" s="42">
        <f t="shared" si="4"/>
        <v>34647.5</v>
      </c>
      <c r="T14" s="43">
        <f t="shared" si="5"/>
        <v>0.32</v>
      </c>
    </row>
    <row r="15" spans="2:20" x14ac:dyDescent="0.15">
      <c r="F15" s="139">
        <v>431900</v>
      </c>
      <c r="G15" s="142">
        <v>98671</v>
      </c>
      <c r="H15" s="141">
        <v>0.35</v>
      </c>
      <c r="I15" s="38"/>
      <c r="J15" s="25">
        <f t="shared" si="0"/>
        <v>444900</v>
      </c>
      <c r="K15" s="42">
        <f t="shared" si="6"/>
        <v>98671</v>
      </c>
      <c r="L15" s="43">
        <f t="shared" si="7"/>
        <v>0.35</v>
      </c>
      <c r="M15" s="38"/>
      <c r="N15" s="25">
        <f t="shared" si="1"/>
        <v>457800</v>
      </c>
      <c r="O15" s="42">
        <f t="shared" si="8"/>
        <v>98671</v>
      </c>
      <c r="P15" s="43">
        <f t="shared" si="2"/>
        <v>0.35</v>
      </c>
      <c r="Q15" s="38"/>
      <c r="R15" s="25">
        <f t="shared" si="3"/>
        <v>228900</v>
      </c>
      <c r="S15" s="42">
        <f t="shared" si="4"/>
        <v>49335.5</v>
      </c>
      <c r="T15" s="43">
        <f t="shared" si="5"/>
        <v>0.35</v>
      </c>
    </row>
    <row r="16" spans="2:20" x14ac:dyDescent="0.15">
      <c r="F16" s="139">
        <v>647850</v>
      </c>
      <c r="G16" s="142">
        <v>174253.5</v>
      </c>
      <c r="H16" s="141">
        <v>0.37</v>
      </c>
      <c r="I16" s="38"/>
      <c r="J16" s="25">
        <f t="shared" si="0"/>
        <v>660850</v>
      </c>
      <c r="K16" s="42">
        <f t="shared" si="6"/>
        <v>174253.5</v>
      </c>
      <c r="L16" s="43">
        <f t="shared" si="7"/>
        <v>0.37</v>
      </c>
      <c r="M16" s="38"/>
      <c r="N16" s="25">
        <f t="shared" si="1"/>
        <v>673750</v>
      </c>
      <c r="O16" s="42">
        <f t="shared" si="8"/>
        <v>174253.5</v>
      </c>
      <c r="P16" s="43">
        <f t="shared" si="2"/>
        <v>0.37</v>
      </c>
      <c r="Q16" s="38"/>
      <c r="R16" s="25">
        <f t="shared" si="3"/>
        <v>336875</v>
      </c>
      <c r="S16" s="42">
        <f t="shared" si="4"/>
        <v>87126.75</v>
      </c>
      <c r="T16" s="43">
        <f t="shared" si="5"/>
        <v>0.37</v>
      </c>
    </row>
    <row r="17" spans="6:20" ht="12.75" customHeight="1" x14ac:dyDescent="0.15">
      <c r="F17" s="31" t="s">
        <v>42</v>
      </c>
      <c r="J17" s="30" t="s">
        <v>39</v>
      </c>
      <c r="N17" s="40" t="s">
        <v>116</v>
      </c>
      <c r="O17" s="38"/>
      <c r="P17" s="38"/>
      <c r="R17" s="40" t="s">
        <v>53</v>
      </c>
    </row>
    <row r="18" spans="6:20" x14ac:dyDescent="0.15">
      <c r="F18" s="5" t="s">
        <v>16</v>
      </c>
      <c r="G18" s="5"/>
      <c r="H18" s="5"/>
      <c r="J18" s="6" t="s">
        <v>14</v>
      </c>
      <c r="K18" s="6"/>
      <c r="L18" s="6"/>
      <c r="N18" s="41" t="s">
        <v>14</v>
      </c>
      <c r="O18" s="41"/>
      <c r="P18" s="41"/>
      <c r="R18" s="41" t="s">
        <v>54</v>
      </c>
      <c r="S18" s="41"/>
      <c r="T18" s="41"/>
    </row>
    <row r="19" spans="6:20" x14ac:dyDescent="0.15">
      <c r="N19" s="38"/>
      <c r="O19" s="38"/>
      <c r="P19" s="38"/>
    </row>
    <row r="20" spans="6:20" ht="12.75" customHeight="1" x14ac:dyDescent="0.15">
      <c r="J20" s="25">
        <v>-999999</v>
      </c>
      <c r="K20" s="8">
        <v>0</v>
      </c>
      <c r="L20" s="7">
        <v>0</v>
      </c>
      <c r="N20" s="25">
        <v>-999999</v>
      </c>
      <c r="O20" s="42">
        <v>0</v>
      </c>
      <c r="P20" s="43">
        <v>0</v>
      </c>
      <c r="R20" s="25">
        <v>-999999</v>
      </c>
      <c r="S20" s="42">
        <v>0</v>
      </c>
      <c r="T20" s="43">
        <v>0</v>
      </c>
    </row>
    <row r="21" spans="6:20" ht="12.75" customHeight="1" x14ac:dyDescent="0.15">
      <c r="F21" s="139">
        <v>0</v>
      </c>
      <c r="G21" s="140">
        <v>0</v>
      </c>
      <c r="H21" s="141">
        <v>0.1</v>
      </c>
      <c r="I21" s="38"/>
      <c r="J21" s="25">
        <f t="shared" ref="J21:J27" si="9">F21+SDS-2*Allowance</f>
        <v>4350</v>
      </c>
      <c r="K21" s="42">
        <v>0</v>
      </c>
      <c r="L21" s="43">
        <f t="shared" ref="L21:L27" si="10">H21</f>
        <v>0.1</v>
      </c>
      <c r="M21" s="38"/>
      <c r="N21" s="25">
        <f t="shared" ref="N21:N27" si="11">F21+SDS</f>
        <v>12950</v>
      </c>
      <c r="O21" s="42">
        <v>0</v>
      </c>
      <c r="P21" s="43">
        <f t="shared" ref="P21:P27" si="12">L21</f>
        <v>0.1</v>
      </c>
      <c r="Q21" s="38"/>
      <c r="R21" s="25">
        <f t="shared" ref="R21:R27" si="13">(F21+SDS)/2</f>
        <v>6475</v>
      </c>
      <c r="S21" s="42">
        <f t="shared" ref="S21:S27" si="14">S20+T20*(R21-R20)</f>
        <v>0</v>
      </c>
      <c r="T21" s="43">
        <f t="shared" ref="T21:T27" si="15">P21</f>
        <v>0.1</v>
      </c>
    </row>
    <row r="22" spans="6:20" x14ac:dyDescent="0.15">
      <c r="F22" s="139">
        <v>10275</v>
      </c>
      <c r="G22" s="140">
        <v>1027.5</v>
      </c>
      <c r="H22" s="141">
        <v>0.12</v>
      </c>
      <c r="I22" s="38"/>
      <c r="J22" s="25">
        <f t="shared" si="9"/>
        <v>14625</v>
      </c>
      <c r="K22" s="42">
        <f t="shared" ref="K22:K27" si="16">K21+L21*(J22-J21)</f>
        <v>1027.5</v>
      </c>
      <c r="L22" s="43">
        <f t="shared" si="10"/>
        <v>0.12</v>
      </c>
      <c r="M22" s="38"/>
      <c r="N22" s="25">
        <f t="shared" si="11"/>
        <v>23225</v>
      </c>
      <c r="O22" s="42">
        <f t="shared" ref="O22:O27" si="17">O21+P21*(N22-N21)</f>
        <v>1027.5</v>
      </c>
      <c r="P22" s="43">
        <f t="shared" si="12"/>
        <v>0.12</v>
      </c>
      <c r="Q22" s="38"/>
      <c r="R22" s="25">
        <f t="shared" si="13"/>
        <v>11612.5</v>
      </c>
      <c r="S22" s="42">
        <f t="shared" si="14"/>
        <v>513.75</v>
      </c>
      <c r="T22" s="43">
        <f t="shared" si="15"/>
        <v>0.12</v>
      </c>
    </row>
    <row r="23" spans="6:20" x14ac:dyDescent="0.15">
      <c r="F23" s="139">
        <v>41775</v>
      </c>
      <c r="G23" s="140">
        <v>4807.5</v>
      </c>
      <c r="H23" s="141">
        <v>0.22</v>
      </c>
      <c r="I23" s="38"/>
      <c r="J23" s="25">
        <f t="shared" si="9"/>
        <v>46125</v>
      </c>
      <c r="K23" s="42">
        <f t="shared" si="16"/>
        <v>4807.5</v>
      </c>
      <c r="L23" s="43">
        <f t="shared" si="10"/>
        <v>0.22</v>
      </c>
      <c r="M23" s="38"/>
      <c r="N23" s="25">
        <f t="shared" si="11"/>
        <v>54725</v>
      </c>
      <c r="O23" s="42">
        <f t="shared" si="17"/>
        <v>4807.5</v>
      </c>
      <c r="P23" s="43">
        <f t="shared" si="12"/>
        <v>0.22</v>
      </c>
      <c r="Q23" s="38"/>
      <c r="R23" s="25">
        <f t="shared" si="13"/>
        <v>27362.5</v>
      </c>
      <c r="S23" s="42">
        <f t="shared" si="14"/>
        <v>2403.75</v>
      </c>
      <c r="T23" s="43">
        <f t="shared" si="15"/>
        <v>0.22</v>
      </c>
    </row>
    <row r="24" spans="6:20" x14ac:dyDescent="0.15">
      <c r="F24" s="139">
        <v>89075</v>
      </c>
      <c r="G24" s="140">
        <v>15213.5</v>
      </c>
      <c r="H24" s="141">
        <v>0.24</v>
      </c>
      <c r="I24" s="38"/>
      <c r="J24" s="25">
        <f t="shared" si="9"/>
        <v>93425</v>
      </c>
      <c r="K24" s="42">
        <f t="shared" si="16"/>
        <v>15213.5</v>
      </c>
      <c r="L24" s="43">
        <f t="shared" si="10"/>
        <v>0.24</v>
      </c>
      <c r="M24" s="38"/>
      <c r="N24" s="25">
        <f t="shared" si="11"/>
        <v>102025</v>
      </c>
      <c r="O24" s="42">
        <f t="shared" si="17"/>
        <v>15213.5</v>
      </c>
      <c r="P24" s="43">
        <f t="shared" si="12"/>
        <v>0.24</v>
      </c>
      <c r="Q24" s="38"/>
      <c r="R24" s="25">
        <f t="shared" si="13"/>
        <v>51012.5</v>
      </c>
      <c r="S24" s="42">
        <f t="shared" si="14"/>
        <v>7606.75</v>
      </c>
      <c r="T24" s="43">
        <f t="shared" si="15"/>
        <v>0.24</v>
      </c>
    </row>
    <row r="25" spans="6:20" x14ac:dyDescent="0.15">
      <c r="F25" s="139">
        <v>170050</v>
      </c>
      <c r="G25" s="140">
        <v>34647.5</v>
      </c>
      <c r="H25" s="141">
        <v>0.32</v>
      </c>
      <c r="I25" s="38"/>
      <c r="J25" s="25">
        <f t="shared" si="9"/>
        <v>174400</v>
      </c>
      <c r="K25" s="42">
        <f t="shared" si="16"/>
        <v>34647.5</v>
      </c>
      <c r="L25" s="43">
        <f t="shared" si="10"/>
        <v>0.32</v>
      </c>
      <c r="M25" s="38"/>
      <c r="N25" s="25">
        <f t="shared" si="11"/>
        <v>183000</v>
      </c>
      <c r="O25" s="42">
        <f t="shared" si="17"/>
        <v>34647.5</v>
      </c>
      <c r="P25" s="43">
        <f t="shared" si="12"/>
        <v>0.32</v>
      </c>
      <c r="Q25" s="38"/>
      <c r="R25" s="25">
        <f t="shared" si="13"/>
        <v>91500</v>
      </c>
      <c r="S25" s="42">
        <f t="shared" si="14"/>
        <v>17323.75</v>
      </c>
      <c r="T25" s="43">
        <f t="shared" si="15"/>
        <v>0.32</v>
      </c>
    </row>
    <row r="26" spans="6:20" x14ac:dyDescent="0.15">
      <c r="F26" s="139">
        <v>215950</v>
      </c>
      <c r="G26" s="140">
        <v>49335.5</v>
      </c>
      <c r="H26" s="141">
        <v>0.35</v>
      </c>
      <c r="I26" s="38"/>
      <c r="J26" s="25">
        <f t="shared" si="9"/>
        <v>220300</v>
      </c>
      <c r="K26" s="42">
        <f t="shared" si="16"/>
        <v>49335.5</v>
      </c>
      <c r="L26" s="43">
        <f t="shared" si="10"/>
        <v>0.35</v>
      </c>
      <c r="M26" s="38"/>
      <c r="N26" s="25">
        <f t="shared" si="11"/>
        <v>228900</v>
      </c>
      <c r="O26" s="42">
        <f t="shared" si="17"/>
        <v>49335.5</v>
      </c>
      <c r="P26" s="43">
        <f t="shared" si="12"/>
        <v>0.35</v>
      </c>
      <c r="Q26" s="38"/>
      <c r="R26" s="25">
        <f t="shared" si="13"/>
        <v>114450</v>
      </c>
      <c r="S26" s="42">
        <f t="shared" si="14"/>
        <v>24667.75</v>
      </c>
      <c r="T26" s="43">
        <f t="shared" si="15"/>
        <v>0.35</v>
      </c>
    </row>
    <row r="27" spans="6:20" x14ac:dyDescent="0.15">
      <c r="F27" s="139">
        <v>539900</v>
      </c>
      <c r="G27" s="140">
        <v>162718</v>
      </c>
      <c r="H27" s="141">
        <v>0.37</v>
      </c>
      <c r="I27" s="38"/>
      <c r="J27" s="25">
        <f t="shared" si="9"/>
        <v>544250</v>
      </c>
      <c r="K27" s="42">
        <f t="shared" si="16"/>
        <v>162718</v>
      </c>
      <c r="L27" s="43">
        <f t="shared" si="10"/>
        <v>0.37</v>
      </c>
      <c r="M27" s="38"/>
      <c r="N27" s="25">
        <f t="shared" si="11"/>
        <v>552850</v>
      </c>
      <c r="O27" s="42">
        <f t="shared" si="17"/>
        <v>162718</v>
      </c>
      <c r="P27" s="43">
        <f t="shared" si="12"/>
        <v>0.37</v>
      </c>
      <c r="Q27" s="38"/>
      <c r="R27" s="25">
        <f t="shared" si="13"/>
        <v>276425</v>
      </c>
      <c r="S27" s="42">
        <f t="shared" si="14"/>
        <v>81359</v>
      </c>
      <c r="T27" s="43">
        <f t="shared" si="15"/>
        <v>0.37</v>
      </c>
    </row>
    <row r="28" spans="6:20" x14ac:dyDescent="0.15">
      <c r="F28" s="31" t="s">
        <v>43</v>
      </c>
      <c r="J28" s="30" t="s">
        <v>40</v>
      </c>
      <c r="N28" s="40" t="s">
        <v>117</v>
      </c>
      <c r="O28" s="38"/>
      <c r="P28" s="38"/>
      <c r="R28" s="40" t="s">
        <v>55</v>
      </c>
    </row>
    <row r="29" spans="6:20" ht="12.75" customHeight="1" x14ac:dyDescent="0.15">
      <c r="F29" s="5" t="s">
        <v>17</v>
      </c>
      <c r="G29" s="5"/>
      <c r="H29" s="5"/>
      <c r="J29" s="6" t="s">
        <v>6</v>
      </c>
      <c r="K29" s="6"/>
      <c r="L29" s="6"/>
      <c r="N29" s="41" t="s">
        <v>6</v>
      </c>
      <c r="O29" s="41"/>
      <c r="P29" s="41"/>
      <c r="R29" s="41" t="s">
        <v>56</v>
      </c>
      <c r="S29" s="41"/>
      <c r="T29" s="41"/>
    </row>
    <row r="30" spans="6:20" x14ac:dyDescent="0.15">
      <c r="N30" s="38"/>
      <c r="O30" s="38"/>
      <c r="P30" s="38"/>
    </row>
    <row r="31" spans="6:20" ht="12.75" customHeight="1" x14ac:dyDescent="0.15">
      <c r="J31" s="25">
        <v>-999999</v>
      </c>
      <c r="K31" s="8">
        <v>0</v>
      </c>
      <c r="L31" s="7">
        <v>0</v>
      </c>
      <c r="N31" s="25">
        <v>-999999</v>
      </c>
      <c r="O31" s="42">
        <v>0</v>
      </c>
      <c r="P31" s="43">
        <v>0</v>
      </c>
      <c r="R31" s="25">
        <v>-999999</v>
      </c>
      <c r="S31" s="42">
        <v>0</v>
      </c>
      <c r="T31" s="43">
        <v>0</v>
      </c>
    </row>
    <row r="32" spans="6:20" ht="12.75" customHeight="1" x14ac:dyDescent="0.15">
      <c r="F32" s="139">
        <v>0</v>
      </c>
      <c r="G32" s="140">
        <v>0</v>
      </c>
      <c r="H32" s="141">
        <v>0.1</v>
      </c>
      <c r="I32" s="38"/>
      <c r="J32" s="25">
        <f t="shared" ref="J32:J38" si="18">F32+SDHH-2*Allowance</f>
        <v>10800</v>
      </c>
      <c r="K32" s="42">
        <v>0</v>
      </c>
      <c r="L32" s="43">
        <f t="shared" ref="L32:L38" si="19">H32</f>
        <v>0.1</v>
      </c>
      <c r="M32" s="38"/>
      <c r="N32" s="25">
        <f t="shared" ref="N32:N38" si="20">F32+SDHH</f>
        <v>19400</v>
      </c>
      <c r="O32" s="42">
        <v>0</v>
      </c>
      <c r="P32" s="43">
        <f t="shared" ref="P32:P38" si="21">L32</f>
        <v>0.1</v>
      </c>
      <c r="Q32" s="38"/>
      <c r="R32" s="25">
        <f t="shared" ref="R32:R38" si="22">(F32+SDHH)/2</f>
        <v>9700</v>
      </c>
      <c r="S32" s="42">
        <f t="shared" ref="S32:S38" si="23">S31+T31*(R32-R31)</f>
        <v>0</v>
      </c>
      <c r="T32" s="43">
        <f t="shared" ref="T32:T38" si="24">P32</f>
        <v>0.1</v>
      </c>
    </row>
    <row r="33" spans="6:20" x14ac:dyDescent="0.15">
      <c r="F33" s="142">
        <v>14650</v>
      </c>
      <c r="G33" s="140">
        <v>1465</v>
      </c>
      <c r="H33" s="141">
        <v>0.12</v>
      </c>
      <c r="I33" s="38"/>
      <c r="J33" s="25">
        <f t="shared" si="18"/>
        <v>25450</v>
      </c>
      <c r="K33" s="42">
        <f t="shared" ref="K33:K38" si="25">K32+L32*(J33-J32)</f>
        <v>1465</v>
      </c>
      <c r="L33" s="43">
        <f t="shared" si="19"/>
        <v>0.12</v>
      </c>
      <c r="M33" s="38"/>
      <c r="N33" s="25">
        <f t="shared" si="20"/>
        <v>34050</v>
      </c>
      <c r="O33" s="42">
        <f t="shared" ref="O33:O38" si="26">O32+P32*(N33-N32)</f>
        <v>1465</v>
      </c>
      <c r="P33" s="43">
        <f t="shared" si="21"/>
        <v>0.12</v>
      </c>
      <c r="Q33" s="38"/>
      <c r="R33" s="25">
        <f t="shared" si="22"/>
        <v>17025</v>
      </c>
      <c r="S33" s="42">
        <f t="shared" si="23"/>
        <v>732.5</v>
      </c>
      <c r="T33" s="43">
        <f t="shared" si="24"/>
        <v>0.12</v>
      </c>
    </row>
    <row r="34" spans="6:20" x14ac:dyDescent="0.15">
      <c r="F34" s="142">
        <v>55900</v>
      </c>
      <c r="G34" s="140">
        <v>6415</v>
      </c>
      <c r="H34" s="141">
        <v>0.22</v>
      </c>
      <c r="I34" s="38"/>
      <c r="J34" s="25">
        <f t="shared" si="18"/>
        <v>66700</v>
      </c>
      <c r="K34" s="42">
        <f t="shared" si="25"/>
        <v>6415</v>
      </c>
      <c r="L34" s="43">
        <f t="shared" si="19"/>
        <v>0.22</v>
      </c>
      <c r="M34" s="38"/>
      <c r="N34" s="25">
        <f t="shared" si="20"/>
        <v>75300</v>
      </c>
      <c r="O34" s="42">
        <f t="shared" si="26"/>
        <v>6415</v>
      </c>
      <c r="P34" s="43">
        <f t="shared" si="21"/>
        <v>0.22</v>
      </c>
      <c r="Q34" s="38"/>
      <c r="R34" s="25">
        <f t="shared" si="22"/>
        <v>37650</v>
      </c>
      <c r="S34" s="42">
        <f t="shared" si="23"/>
        <v>3207.5</v>
      </c>
      <c r="T34" s="43">
        <f t="shared" si="24"/>
        <v>0.22</v>
      </c>
    </row>
    <row r="35" spans="6:20" x14ac:dyDescent="0.15">
      <c r="F35" s="142">
        <v>89050</v>
      </c>
      <c r="G35" s="140">
        <v>13708</v>
      </c>
      <c r="H35" s="141">
        <v>0.24</v>
      </c>
      <c r="I35" s="38"/>
      <c r="J35" s="25">
        <f t="shared" si="18"/>
        <v>99850</v>
      </c>
      <c r="K35" s="42">
        <f t="shared" si="25"/>
        <v>13708</v>
      </c>
      <c r="L35" s="43">
        <f t="shared" si="19"/>
        <v>0.24</v>
      </c>
      <c r="M35" s="38"/>
      <c r="N35" s="25">
        <f t="shared" si="20"/>
        <v>108450</v>
      </c>
      <c r="O35" s="42">
        <f t="shared" si="26"/>
        <v>13708</v>
      </c>
      <c r="P35" s="43">
        <f t="shared" si="21"/>
        <v>0.24</v>
      </c>
      <c r="Q35" s="38"/>
      <c r="R35" s="25">
        <f t="shared" si="22"/>
        <v>54225</v>
      </c>
      <c r="S35" s="42">
        <f t="shared" si="23"/>
        <v>6854</v>
      </c>
      <c r="T35" s="43">
        <f t="shared" si="24"/>
        <v>0.24</v>
      </c>
    </row>
    <row r="36" spans="6:20" ht="12.75" customHeight="1" x14ac:dyDescent="0.15">
      <c r="F36" s="142">
        <v>170050</v>
      </c>
      <c r="G36" s="140">
        <v>33148</v>
      </c>
      <c r="H36" s="141">
        <v>0.32</v>
      </c>
      <c r="I36" s="38"/>
      <c r="J36" s="25">
        <f t="shared" si="18"/>
        <v>180850</v>
      </c>
      <c r="K36" s="42">
        <f t="shared" si="25"/>
        <v>33148</v>
      </c>
      <c r="L36" s="43">
        <f t="shared" si="19"/>
        <v>0.32</v>
      </c>
      <c r="M36" s="38"/>
      <c r="N36" s="25">
        <f t="shared" si="20"/>
        <v>189450</v>
      </c>
      <c r="O36" s="42">
        <f t="shared" si="26"/>
        <v>33148</v>
      </c>
      <c r="P36" s="43">
        <f t="shared" si="21"/>
        <v>0.32</v>
      </c>
      <c r="Q36" s="38"/>
      <c r="R36" s="25">
        <f t="shared" si="22"/>
        <v>94725</v>
      </c>
      <c r="S36" s="42">
        <f t="shared" si="23"/>
        <v>16574</v>
      </c>
      <c r="T36" s="43">
        <f t="shared" si="24"/>
        <v>0.32</v>
      </c>
    </row>
    <row r="37" spans="6:20" x14ac:dyDescent="0.15">
      <c r="F37" s="142">
        <v>215950</v>
      </c>
      <c r="G37" s="140">
        <v>47836</v>
      </c>
      <c r="H37" s="141">
        <v>0.35</v>
      </c>
      <c r="I37" s="38"/>
      <c r="J37" s="25">
        <f t="shared" si="18"/>
        <v>226750</v>
      </c>
      <c r="K37" s="42">
        <f t="shared" si="25"/>
        <v>47836</v>
      </c>
      <c r="L37" s="43">
        <f t="shared" si="19"/>
        <v>0.35</v>
      </c>
      <c r="M37" s="38"/>
      <c r="N37" s="25">
        <f t="shared" si="20"/>
        <v>235350</v>
      </c>
      <c r="O37" s="42">
        <f t="shared" si="26"/>
        <v>47836</v>
      </c>
      <c r="P37" s="43">
        <f t="shared" si="21"/>
        <v>0.35</v>
      </c>
      <c r="Q37" s="38"/>
      <c r="R37" s="25">
        <f t="shared" si="22"/>
        <v>117675</v>
      </c>
      <c r="S37" s="42">
        <f t="shared" si="23"/>
        <v>23918</v>
      </c>
      <c r="T37" s="43">
        <f t="shared" si="24"/>
        <v>0.35</v>
      </c>
    </row>
    <row r="38" spans="6:20" ht="12.75" customHeight="1" x14ac:dyDescent="0.15">
      <c r="F38" s="142">
        <v>539900</v>
      </c>
      <c r="G38" s="140">
        <v>161218.5</v>
      </c>
      <c r="H38" s="141">
        <v>0.37</v>
      </c>
      <c r="I38" s="38"/>
      <c r="J38" s="25">
        <f t="shared" si="18"/>
        <v>550700</v>
      </c>
      <c r="K38" s="42">
        <f t="shared" si="25"/>
        <v>161218.5</v>
      </c>
      <c r="L38" s="43">
        <f t="shared" si="19"/>
        <v>0.37</v>
      </c>
      <c r="M38" s="38"/>
      <c r="N38" s="25">
        <f t="shared" si="20"/>
        <v>559300</v>
      </c>
      <c r="O38" s="42">
        <f t="shared" si="26"/>
        <v>161218.5</v>
      </c>
      <c r="P38" s="43">
        <f t="shared" si="21"/>
        <v>0.37</v>
      </c>
      <c r="Q38" s="38"/>
      <c r="R38" s="25">
        <f t="shared" si="22"/>
        <v>279650</v>
      </c>
      <c r="S38" s="42">
        <f t="shared" si="23"/>
        <v>80609.25</v>
      </c>
      <c r="T38" s="43">
        <f t="shared" si="24"/>
        <v>0.37</v>
      </c>
    </row>
    <row r="46" spans="6:20" ht="12.75" customHeight="1" x14ac:dyDescent="0.15"/>
    <row r="52" spans="4:4" ht="12.75" customHeight="1" x14ac:dyDescent="0.15"/>
    <row r="59" spans="4:4" x14ac:dyDescent="0.15">
      <c r="D59" s="4"/>
    </row>
  </sheetData>
  <sheetProtection algorithmName="SHA-512" hashValue="5/gxUNnTAdp+GtTRmgo58IQsiVDv/qh3IHqFFx65/hZUH1wUaYdBshx5IbLz4qpUcwOj5HeC1SWE5t1ZSoIryw==" saltValue="mdxQOTGz5J3rF+f2heJTn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B17B15-68BD-42CD-A591-C30EF4D3AA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037E36-E1DA-44A1-BB9D-82245CD677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B2808B-B9D8-4352-8A94-6B3097A03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28</vt:i4>
      </vt:variant>
    </vt:vector>
  </HeadingPairs>
  <TitlesOfParts>
    <vt:vector size="31" baseType="lpstr">
      <vt:lpstr>Inputs &amp; Result</vt:lpstr>
      <vt:lpstr>Calculations</vt:lpstr>
      <vt:lpstr>Tax Year Parameters</vt:lpstr>
      <vt:lpstr>Allowance</vt:lpstr>
      <vt:lpstr>Box2c</vt:lpstr>
      <vt:lpstr>FilStat19</vt:lpstr>
      <vt:lpstr>FilStat20</vt:lpstr>
      <vt:lpstr>HWRSHH</vt:lpstr>
      <vt:lpstr>HWRSMJ</vt:lpstr>
      <vt:lpstr>HWRSS</vt:lpstr>
      <vt:lpstr>PayFreq</vt:lpstr>
      <vt:lpstr>SDHH</vt:lpstr>
      <vt:lpstr>SDMJ</vt:lpstr>
      <vt:lpstr>SDS</vt:lpstr>
      <vt:lpstr>TRSHH</vt:lpstr>
      <vt:lpstr>TRSMJ</vt:lpstr>
      <vt:lpstr>TRSS</vt:lpstr>
      <vt:lpstr>Update12p</vt:lpstr>
      <vt:lpstr>Update22p</vt:lpstr>
      <vt:lpstr>Update24p</vt:lpstr>
      <vt:lpstr>Update32p</vt:lpstr>
      <vt:lpstr>Update35p</vt:lpstr>
      <vt:lpstr>Update37p</vt:lpstr>
      <vt:lpstr>UpdateWA</vt:lpstr>
      <vt:lpstr>Version</vt:lpstr>
      <vt:lpstr>WRSHH</vt:lpstr>
      <vt:lpstr>WRSHH2020</vt:lpstr>
      <vt:lpstr>WRSMJ</vt:lpstr>
      <vt:lpstr>WRSMJ2020</vt:lpstr>
      <vt:lpstr>WRSS</vt:lpstr>
      <vt:lpstr>WRSS2020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the Treasury</dc:creator>
  <cp:lastModifiedBy>Microsoft Office User</cp:lastModifiedBy>
  <cp:lastPrinted>2019-05-15T12:03:59Z</cp:lastPrinted>
  <dcterms:created xsi:type="dcterms:W3CDTF">2018-01-29T12:47:09Z</dcterms:created>
  <dcterms:modified xsi:type="dcterms:W3CDTF">2023-03-22T02:46:03Z</dcterms:modified>
</cp:coreProperties>
</file>